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Доходы\Поправки апрель\"/>
    </mc:Choice>
  </mc:AlternateContent>
  <bookViews>
    <workbookView xWindow="-120" yWindow="-120" windowWidth="29040" windowHeight="15840"/>
  </bookViews>
  <sheets>
    <sheet name="Поправки апрель 2022-2024" sheetId="1" r:id="rId1"/>
  </sheets>
  <definedNames>
    <definedName name="_xlnm.Print_Titles" localSheetId="0">'Поправки апрель 2022-2024'!$5:$6</definedName>
    <definedName name="_xlnm.Print_Area" localSheetId="0">'Поправки апрель 2022-2024'!$A$1:$Q$113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6" i="1" l="1"/>
  <c r="Q36" i="1"/>
  <c r="L36" i="1"/>
  <c r="M36" i="1"/>
  <c r="I52" i="1" l="1"/>
  <c r="H52" i="1"/>
  <c r="G52" i="1"/>
  <c r="F52" i="1"/>
  <c r="E52" i="1"/>
  <c r="D52" i="1"/>
  <c r="G31" i="1"/>
  <c r="G8" i="1" l="1"/>
  <c r="G113" i="1" s="1"/>
  <c r="G38" i="1"/>
  <c r="I48" i="1"/>
  <c r="G111" i="1" l="1"/>
  <c r="H111" i="1" s="1"/>
  <c r="G108" i="1"/>
  <c r="H108" i="1" s="1"/>
  <c r="H106" i="1"/>
  <c r="G109" i="1"/>
  <c r="H109" i="1" s="1"/>
  <c r="H107" i="1"/>
  <c r="H110" i="1"/>
  <c r="H112" i="1"/>
  <c r="G42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4" i="1"/>
  <c r="I35" i="1"/>
  <c r="I36" i="1"/>
  <c r="I37" i="1"/>
  <c r="I39" i="1"/>
  <c r="I41" i="1"/>
  <c r="I44" i="1"/>
  <c r="I45" i="1"/>
  <c r="I47" i="1"/>
  <c r="I50" i="1"/>
  <c r="I51" i="1"/>
  <c r="H31" i="1" l="1"/>
  <c r="I31" i="1" s="1"/>
  <c r="D31" i="1"/>
  <c r="H36" i="1"/>
  <c r="G29" i="1" l="1"/>
  <c r="G43" i="1" l="1"/>
  <c r="G40" i="1"/>
  <c r="H40" i="1" s="1"/>
  <c r="I40" i="1" s="1"/>
  <c r="H38" i="1"/>
  <c r="I38" i="1" s="1"/>
  <c r="G22" i="1"/>
  <c r="H22" i="1" s="1"/>
  <c r="G17" i="1"/>
  <c r="H17" i="1" s="1"/>
  <c r="F17" i="1"/>
  <c r="G15" i="1"/>
  <c r="G9" i="1"/>
  <c r="H9" i="1" s="1"/>
  <c r="H10" i="1"/>
  <c r="H11" i="1"/>
  <c r="H12" i="1"/>
  <c r="H13" i="1"/>
  <c r="H14" i="1"/>
  <c r="H16" i="1"/>
  <c r="H18" i="1"/>
  <c r="H19" i="1"/>
  <c r="H20" i="1"/>
  <c r="H21" i="1"/>
  <c r="H23" i="1"/>
  <c r="H24" i="1"/>
  <c r="H25" i="1"/>
  <c r="H26" i="1"/>
  <c r="H27" i="1"/>
  <c r="H28" i="1"/>
  <c r="H29" i="1"/>
  <c r="H30" i="1"/>
  <c r="H32" i="1"/>
  <c r="H33" i="1"/>
  <c r="I33" i="1" s="1"/>
  <c r="H34" i="1"/>
  <c r="H35" i="1"/>
  <c r="H37" i="1"/>
  <c r="H39" i="1"/>
  <c r="H41" i="1"/>
  <c r="H42" i="1"/>
  <c r="I42" i="1" s="1"/>
  <c r="H44" i="1"/>
  <c r="H45" i="1"/>
  <c r="H46" i="1"/>
  <c r="I46" i="1" s="1"/>
  <c r="H47" i="1"/>
  <c r="H48" i="1"/>
  <c r="H49" i="1"/>
  <c r="I49" i="1" s="1"/>
  <c r="H15" i="1" l="1"/>
  <c r="M65" i="1"/>
  <c r="M69" i="1"/>
  <c r="M73" i="1"/>
  <c r="M77" i="1"/>
  <c r="M89" i="1"/>
  <c r="M93" i="1"/>
  <c r="M97" i="1"/>
  <c r="M102" i="1"/>
  <c r="M110" i="1"/>
  <c r="Q59" i="1"/>
  <c r="Q60" i="1"/>
  <c r="Q107" i="1"/>
  <c r="P55" i="1"/>
  <c r="Q55" i="1" s="1"/>
  <c r="P56" i="1"/>
  <c r="Q56" i="1" s="1"/>
  <c r="P58" i="1"/>
  <c r="Q58" i="1" s="1"/>
  <c r="P59" i="1"/>
  <c r="P60" i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1" i="1"/>
  <c r="Q81" i="1" s="1"/>
  <c r="P82" i="1"/>
  <c r="Q82" i="1" s="1"/>
  <c r="P83" i="1"/>
  <c r="Q83" i="1" s="1"/>
  <c r="P84" i="1"/>
  <c r="Q84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7" i="1"/>
  <c r="P109" i="1"/>
  <c r="Q109" i="1" s="1"/>
  <c r="P110" i="1"/>
  <c r="Q110" i="1" s="1"/>
  <c r="P112" i="1"/>
  <c r="Q112" i="1" s="1"/>
  <c r="L55" i="1"/>
  <c r="M55" i="1" s="1"/>
  <c r="L56" i="1"/>
  <c r="M56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L66" i="1"/>
  <c r="M66" i="1" s="1"/>
  <c r="L68" i="1"/>
  <c r="M68" i="1" s="1"/>
  <c r="L69" i="1"/>
  <c r="L70" i="1"/>
  <c r="M70" i="1" s="1"/>
  <c r="L71" i="1"/>
  <c r="M71" i="1" s="1"/>
  <c r="L72" i="1"/>
  <c r="M72" i="1" s="1"/>
  <c r="L73" i="1"/>
  <c r="L74" i="1"/>
  <c r="M74" i="1" s="1"/>
  <c r="L75" i="1"/>
  <c r="M75" i="1" s="1"/>
  <c r="L76" i="1"/>
  <c r="M76" i="1" s="1"/>
  <c r="L77" i="1"/>
  <c r="L78" i="1"/>
  <c r="M78" i="1" s="1"/>
  <c r="L82" i="1"/>
  <c r="M82" i="1" s="1"/>
  <c r="L83" i="1"/>
  <c r="M83" i="1" s="1"/>
  <c r="L84" i="1"/>
  <c r="M84" i="1" s="1"/>
  <c r="L86" i="1"/>
  <c r="M86" i="1" s="1"/>
  <c r="L87" i="1"/>
  <c r="M87" i="1" s="1"/>
  <c r="L88" i="1"/>
  <c r="M88" i="1" s="1"/>
  <c r="L89" i="1"/>
  <c r="L90" i="1"/>
  <c r="M90" i="1" s="1"/>
  <c r="L91" i="1"/>
  <c r="M91" i="1" s="1"/>
  <c r="L93" i="1"/>
  <c r="L94" i="1"/>
  <c r="M94" i="1" s="1"/>
  <c r="L95" i="1"/>
  <c r="M95" i="1" s="1"/>
  <c r="L96" i="1"/>
  <c r="M96" i="1" s="1"/>
  <c r="L97" i="1"/>
  <c r="L98" i="1"/>
  <c r="M98" i="1" s="1"/>
  <c r="L100" i="1"/>
  <c r="M100" i="1" s="1"/>
  <c r="L101" i="1"/>
  <c r="M101" i="1" s="1"/>
  <c r="L102" i="1"/>
  <c r="L103" i="1"/>
  <c r="M103" i="1" s="1"/>
  <c r="L104" i="1"/>
  <c r="M104" i="1" s="1"/>
  <c r="L105" i="1"/>
  <c r="M105" i="1" s="1"/>
  <c r="L107" i="1"/>
  <c r="M107" i="1" s="1"/>
  <c r="L109" i="1"/>
  <c r="M109" i="1" s="1"/>
  <c r="L110" i="1"/>
  <c r="L112" i="1"/>
  <c r="M112" i="1" s="1"/>
  <c r="I63" i="1"/>
  <c r="I68" i="1"/>
  <c r="I71" i="1"/>
  <c r="I75" i="1"/>
  <c r="I76" i="1"/>
  <c r="I83" i="1"/>
  <c r="I84" i="1"/>
  <c r="I87" i="1"/>
  <c r="I91" i="1"/>
  <c r="I95" i="1"/>
  <c r="I100" i="1"/>
  <c r="I101" i="1"/>
  <c r="I104" i="1"/>
  <c r="I109" i="1"/>
  <c r="I112" i="1"/>
  <c r="I55" i="1"/>
  <c r="H55" i="1"/>
  <c r="H56" i="1"/>
  <c r="I56" i="1" s="1"/>
  <c r="H59" i="1"/>
  <c r="I59" i="1" s="1"/>
  <c r="H60" i="1"/>
  <c r="I60" i="1" s="1"/>
  <c r="H61" i="1"/>
  <c r="I61" i="1" s="1"/>
  <c r="H62" i="1"/>
  <c r="I62" i="1" s="1"/>
  <c r="H63" i="1"/>
  <c r="H64" i="1"/>
  <c r="I64" i="1" s="1"/>
  <c r="H65" i="1"/>
  <c r="I65" i="1" s="1"/>
  <c r="H66" i="1"/>
  <c r="I66" i="1" s="1"/>
  <c r="H68" i="1"/>
  <c r="H69" i="1"/>
  <c r="I69" i="1" s="1"/>
  <c r="H70" i="1"/>
  <c r="I70" i="1" s="1"/>
  <c r="H71" i="1"/>
  <c r="H72" i="1"/>
  <c r="I72" i="1" s="1"/>
  <c r="H74" i="1"/>
  <c r="I74" i="1" s="1"/>
  <c r="H75" i="1"/>
  <c r="H76" i="1"/>
  <c r="H78" i="1"/>
  <c r="I78" i="1" s="1"/>
  <c r="H82" i="1"/>
  <c r="I82" i="1" s="1"/>
  <c r="H83" i="1"/>
  <c r="H84" i="1"/>
  <c r="H86" i="1"/>
  <c r="I86" i="1" s="1"/>
  <c r="H87" i="1"/>
  <c r="H88" i="1"/>
  <c r="I88" i="1" s="1"/>
  <c r="H89" i="1"/>
  <c r="I89" i="1" s="1"/>
  <c r="H90" i="1"/>
  <c r="I90" i="1" s="1"/>
  <c r="H91" i="1"/>
  <c r="H93" i="1"/>
  <c r="I93" i="1" s="1"/>
  <c r="H94" i="1"/>
  <c r="I94" i="1" s="1"/>
  <c r="H95" i="1"/>
  <c r="H96" i="1"/>
  <c r="I96" i="1" s="1"/>
  <c r="H97" i="1"/>
  <c r="I97" i="1" s="1"/>
  <c r="H98" i="1"/>
  <c r="I98" i="1" s="1"/>
  <c r="H100" i="1"/>
  <c r="H101" i="1"/>
  <c r="H102" i="1"/>
  <c r="I102" i="1" s="1"/>
  <c r="H103" i="1"/>
  <c r="I103" i="1" s="1"/>
  <c r="H104" i="1"/>
  <c r="H105" i="1"/>
  <c r="I105" i="1" s="1"/>
  <c r="I107" i="1"/>
  <c r="I110" i="1"/>
  <c r="Q14" i="1"/>
  <c r="Q16" i="1"/>
  <c r="Q19" i="1"/>
  <c r="Q37" i="1"/>
  <c r="Q39" i="1"/>
  <c r="M10" i="1"/>
  <c r="M11" i="1"/>
  <c r="M12" i="1"/>
  <c r="M13" i="1"/>
  <c r="M14" i="1"/>
  <c r="M16" i="1"/>
  <c r="M19" i="1"/>
  <c r="M20" i="1"/>
  <c r="M21" i="1"/>
  <c r="M23" i="1"/>
  <c r="M24" i="1"/>
  <c r="M25" i="1"/>
  <c r="M26" i="1"/>
  <c r="M27" i="1"/>
  <c r="M28" i="1"/>
  <c r="M30" i="1"/>
  <c r="M32" i="1"/>
  <c r="M33" i="1"/>
  <c r="M34" i="1"/>
  <c r="M35" i="1"/>
  <c r="M37" i="1"/>
  <c r="M39" i="1"/>
  <c r="M41" i="1"/>
  <c r="M42" i="1"/>
  <c r="M44" i="1"/>
  <c r="M45" i="1"/>
  <c r="M46" i="1"/>
  <c r="M47" i="1"/>
  <c r="M48" i="1"/>
  <c r="P9" i="1"/>
  <c r="P10" i="1"/>
  <c r="Q10" i="1" s="1"/>
  <c r="P11" i="1"/>
  <c r="Q11" i="1" s="1"/>
  <c r="P12" i="1"/>
  <c r="Q12" i="1" s="1"/>
  <c r="P13" i="1"/>
  <c r="Q13" i="1" s="1"/>
  <c r="P14" i="1"/>
  <c r="P16" i="1"/>
  <c r="P18" i="1"/>
  <c r="P19" i="1"/>
  <c r="P20" i="1"/>
  <c r="Q20" i="1" s="1"/>
  <c r="P21" i="1"/>
  <c r="Q21" i="1" s="1"/>
  <c r="P22" i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P30" i="1"/>
  <c r="Q30" i="1" s="1"/>
  <c r="P32" i="1"/>
  <c r="Q32" i="1" s="1"/>
  <c r="P33" i="1"/>
  <c r="Q33" i="1" s="1"/>
  <c r="P34" i="1"/>
  <c r="Q34" i="1" s="1"/>
  <c r="P35" i="1"/>
  <c r="Q35" i="1" s="1"/>
  <c r="P37" i="1"/>
  <c r="P39" i="1"/>
  <c r="P41" i="1"/>
  <c r="Q41" i="1" s="1"/>
  <c r="P42" i="1"/>
  <c r="Q42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L9" i="1"/>
  <c r="L10" i="1"/>
  <c r="L11" i="1"/>
  <c r="L12" i="1"/>
  <c r="L13" i="1"/>
  <c r="L14" i="1"/>
  <c r="L16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2" i="1"/>
  <c r="L33" i="1"/>
  <c r="L34" i="1"/>
  <c r="L35" i="1"/>
  <c r="L37" i="1"/>
  <c r="L39" i="1"/>
  <c r="L41" i="1"/>
  <c r="L42" i="1"/>
  <c r="L44" i="1"/>
  <c r="L45" i="1"/>
  <c r="L46" i="1"/>
  <c r="L47" i="1"/>
  <c r="L48" i="1"/>
  <c r="L49" i="1"/>
  <c r="L50" i="1"/>
  <c r="L51" i="1"/>
  <c r="O111" i="1"/>
  <c r="O108" i="1"/>
  <c r="O106" i="1"/>
  <c r="O43" i="1"/>
  <c r="P43" i="1" s="1"/>
  <c r="O40" i="1"/>
  <c r="P40" i="1" s="1"/>
  <c r="O38" i="1"/>
  <c r="P38" i="1" s="1"/>
  <c r="O31" i="1"/>
  <c r="P31" i="1" s="1"/>
  <c r="O22" i="1"/>
  <c r="O17" i="1"/>
  <c r="P17" i="1" s="1"/>
  <c r="O15" i="1"/>
  <c r="P15" i="1" s="1"/>
  <c r="O9" i="1"/>
  <c r="K111" i="1"/>
  <c r="K108" i="1"/>
  <c r="K106" i="1"/>
  <c r="K43" i="1"/>
  <c r="L43" i="1" s="1"/>
  <c r="K40" i="1"/>
  <c r="L40" i="1" s="1"/>
  <c r="K38" i="1"/>
  <c r="L38" i="1" s="1"/>
  <c r="K31" i="1"/>
  <c r="L31" i="1" s="1"/>
  <c r="K22" i="1"/>
  <c r="K17" i="1"/>
  <c r="L17" i="1" s="1"/>
  <c r="K15" i="1"/>
  <c r="L15" i="1" s="1"/>
  <c r="K9" i="1"/>
  <c r="O99" i="1"/>
  <c r="K99" i="1"/>
  <c r="O57" i="1"/>
  <c r="O54" i="1"/>
  <c r="K54" i="1"/>
  <c r="O92" i="1"/>
  <c r="K92" i="1"/>
  <c r="E92" i="1"/>
  <c r="O81" i="1"/>
  <c r="K81" i="1"/>
  <c r="E81" i="1"/>
  <c r="H81" i="1" s="1"/>
  <c r="I81" i="1" s="1"/>
  <c r="E78" i="1"/>
  <c r="K67" i="1"/>
  <c r="K57" i="1" s="1"/>
  <c r="E67" i="1"/>
  <c r="E111" i="1"/>
  <c r="F111" i="1"/>
  <c r="E108" i="1"/>
  <c r="F108" i="1"/>
  <c r="E106" i="1"/>
  <c r="F106" i="1"/>
  <c r="E99" i="1"/>
  <c r="F99" i="1"/>
  <c r="F80" i="1"/>
  <c r="F57" i="1"/>
  <c r="E54" i="1"/>
  <c r="F54" i="1"/>
  <c r="E43" i="1"/>
  <c r="F43" i="1"/>
  <c r="E40" i="1"/>
  <c r="F40" i="1"/>
  <c r="E38" i="1"/>
  <c r="F38" i="1"/>
  <c r="E31" i="1"/>
  <c r="F31" i="1"/>
  <c r="K80" i="1" l="1"/>
  <c r="L81" i="1"/>
  <c r="M81" i="1" s="1"/>
  <c r="O80" i="1"/>
  <c r="O8" i="1"/>
  <c r="K8" i="1"/>
  <c r="L8" i="1" s="1"/>
  <c r="O53" i="1"/>
  <c r="E80" i="1"/>
  <c r="E57" i="1"/>
  <c r="F53" i="1"/>
  <c r="F113" i="1" s="1"/>
  <c r="E22" i="1"/>
  <c r="F22" i="1"/>
  <c r="E17" i="1"/>
  <c r="E15" i="1"/>
  <c r="F15" i="1"/>
  <c r="E9" i="1"/>
  <c r="F9" i="1"/>
  <c r="K53" i="1" l="1"/>
  <c r="K52" i="1"/>
  <c r="K113" i="1" s="1"/>
  <c r="O52" i="1"/>
  <c r="O113" i="1" s="1"/>
  <c r="P8" i="1"/>
  <c r="E53" i="1"/>
  <c r="F8" i="1"/>
  <c r="E8" i="1"/>
  <c r="D99" i="1"/>
  <c r="D54" i="1"/>
  <c r="H54" i="1" s="1"/>
  <c r="I54" i="1" s="1"/>
  <c r="D111" i="1"/>
  <c r="D108" i="1"/>
  <c r="D106" i="1"/>
  <c r="D92" i="1"/>
  <c r="D85" i="1"/>
  <c r="D79" i="1"/>
  <c r="D77" i="1"/>
  <c r="D73" i="1"/>
  <c r="D67" i="1"/>
  <c r="D58" i="1"/>
  <c r="D49" i="1"/>
  <c r="D43" i="1"/>
  <c r="D40" i="1"/>
  <c r="D38" i="1"/>
  <c r="D29" i="1"/>
  <c r="D22" i="1"/>
  <c r="D18" i="1"/>
  <c r="D15" i="1"/>
  <c r="D9" i="1"/>
  <c r="H43" i="1" l="1"/>
  <c r="I43" i="1" s="1"/>
  <c r="I111" i="1"/>
  <c r="H77" i="1"/>
  <c r="I77" i="1"/>
  <c r="I58" i="1"/>
  <c r="H58" i="1"/>
  <c r="I108" i="1"/>
  <c r="H67" i="1"/>
  <c r="I67" i="1" s="1"/>
  <c r="H73" i="1"/>
  <c r="I73" i="1"/>
  <c r="H79" i="1"/>
  <c r="I79" i="1" s="1"/>
  <c r="D80" i="1"/>
  <c r="H85" i="1"/>
  <c r="I85" i="1" s="1"/>
  <c r="D17" i="1"/>
  <c r="H92" i="1"/>
  <c r="I92" i="1" s="1"/>
  <c r="I106" i="1"/>
  <c r="H99" i="1"/>
  <c r="I99" i="1" s="1"/>
  <c r="D57" i="1"/>
  <c r="H80" i="1" l="1"/>
  <c r="I80" i="1" s="1"/>
  <c r="D8" i="1"/>
  <c r="H8" i="1" s="1"/>
  <c r="I8" i="1" s="1"/>
  <c r="D53" i="1"/>
  <c r="H57" i="1"/>
  <c r="I57" i="1" s="1"/>
  <c r="E113" i="1"/>
  <c r="H53" i="1" l="1"/>
  <c r="I53" i="1" s="1"/>
  <c r="N92" i="1"/>
  <c r="P92" i="1" s="1"/>
  <c r="Q92" i="1" s="1"/>
  <c r="J92" i="1"/>
  <c r="L92" i="1" s="1"/>
  <c r="M92" i="1" s="1"/>
  <c r="D113" i="1" l="1"/>
  <c r="H113" i="1"/>
  <c r="N85" i="1"/>
  <c r="P85" i="1" s="1"/>
  <c r="Q85" i="1" s="1"/>
  <c r="J85" i="1"/>
  <c r="L85" i="1" s="1"/>
  <c r="M85" i="1" s="1"/>
  <c r="I113" i="1" l="1"/>
  <c r="N18" i="1"/>
  <c r="Q18" i="1" s="1"/>
  <c r="J18" i="1"/>
  <c r="M18" i="1" s="1"/>
  <c r="J31" i="1" l="1"/>
  <c r="M31" i="1" s="1"/>
  <c r="N31" i="1"/>
  <c r="Q31" i="1" s="1"/>
  <c r="N29" i="1"/>
  <c r="Q29" i="1" s="1"/>
  <c r="J29" i="1"/>
  <c r="M29" i="1" s="1"/>
  <c r="N57" i="1" l="1"/>
  <c r="P57" i="1" s="1"/>
  <c r="Q57" i="1" s="1"/>
  <c r="J79" i="1" l="1"/>
  <c r="L79" i="1" s="1"/>
  <c r="M79" i="1" s="1"/>
  <c r="J67" i="1" l="1"/>
  <c r="L67" i="1" s="1"/>
  <c r="M67" i="1" s="1"/>
  <c r="J57" i="1" l="1"/>
  <c r="L57" i="1" s="1"/>
  <c r="M57" i="1" s="1"/>
  <c r="J111" i="1"/>
  <c r="L111" i="1" s="1"/>
  <c r="M111" i="1" s="1"/>
  <c r="N111" i="1"/>
  <c r="P111" i="1" s="1"/>
  <c r="Q111" i="1" s="1"/>
  <c r="N108" i="1"/>
  <c r="P108" i="1" s="1"/>
  <c r="Q108" i="1" s="1"/>
  <c r="J106" i="1"/>
  <c r="L106" i="1" s="1"/>
  <c r="M106" i="1" s="1"/>
  <c r="N106" i="1"/>
  <c r="P106" i="1" s="1"/>
  <c r="Q106" i="1" s="1"/>
  <c r="N99" i="1"/>
  <c r="P99" i="1" s="1"/>
  <c r="Q99" i="1" s="1"/>
  <c r="J80" i="1"/>
  <c r="L80" i="1" s="1"/>
  <c r="M80" i="1" s="1"/>
  <c r="N80" i="1"/>
  <c r="P80" i="1" s="1"/>
  <c r="Q80" i="1" s="1"/>
  <c r="N54" i="1"/>
  <c r="P54" i="1" s="1"/>
  <c r="Q54" i="1" s="1"/>
  <c r="N43" i="1"/>
  <c r="Q43" i="1" s="1"/>
  <c r="J40" i="1"/>
  <c r="M40" i="1" s="1"/>
  <c r="N40" i="1"/>
  <c r="Q40" i="1" s="1"/>
  <c r="J38" i="1"/>
  <c r="M38" i="1" s="1"/>
  <c r="N38" i="1"/>
  <c r="Q38" i="1" s="1"/>
  <c r="J22" i="1"/>
  <c r="M22" i="1" s="1"/>
  <c r="N22" i="1"/>
  <c r="Q22" i="1" s="1"/>
  <c r="J17" i="1"/>
  <c r="M17" i="1" s="1"/>
  <c r="N17" i="1"/>
  <c r="Q17" i="1" s="1"/>
  <c r="J15" i="1"/>
  <c r="M15" i="1" s="1"/>
  <c r="N15" i="1"/>
  <c r="Q15" i="1" s="1"/>
  <c r="J9" i="1"/>
  <c r="M9" i="1" s="1"/>
  <c r="N9" i="1"/>
  <c r="Q9" i="1" s="1"/>
  <c r="J49" i="1"/>
  <c r="M49" i="1" s="1"/>
  <c r="N49" i="1"/>
  <c r="Q49" i="1" s="1"/>
  <c r="N8" i="1" l="1"/>
  <c r="N53" i="1"/>
  <c r="J108" i="1"/>
  <c r="L108" i="1" s="1"/>
  <c r="M108" i="1" s="1"/>
  <c r="J99" i="1"/>
  <c r="L99" i="1" s="1"/>
  <c r="M99" i="1" s="1"/>
  <c r="J54" i="1"/>
  <c r="L54" i="1" s="1"/>
  <c r="M54" i="1" s="1"/>
  <c r="J43" i="1"/>
  <c r="N52" i="1" l="1"/>
  <c r="P52" i="1" s="1"/>
  <c r="P53" i="1"/>
  <c r="Q53" i="1" s="1"/>
  <c r="J8" i="1"/>
  <c r="M8" i="1" s="1"/>
  <c r="M43" i="1"/>
  <c r="Q8" i="1"/>
  <c r="J53" i="1"/>
  <c r="N113" i="1" l="1"/>
  <c r="Q52" i="1"/>
  <c r="P113" i="1"/>
  <c r="J52" i="1"/>
  <c r="L52" i="1" s="1"/>
  <c r="L53" i="1"/>
  <c r="M53" i="1" s="1"/>
  <c r="Q113" i="1"/>
  <c r="J113" i="1"/>
  <c r="M52" i="1" l="1"/>
  <c r="M113" i="1" s="1"/>
  <c r="L113" i="1"/>
</calcChain>
</file>

<file path=xl/comments1.xml><?xml version="1.0" encoding="utf-8"?>
<comments xmlns="http://schemas.openxmlformats.org/spreadsheetml/2006/main">
  <authors>
    <author>Ирина А. Пастух</author>
  </authors>
  <commentList>
    <comment ref="D98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62260</t>
        </r>
      </text>
    </comment>
    <comment ref="I98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62260</t>
        </r>
      </text>
    </comment>
    <comment ref="J98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62260
</t>
        </r>
      </text>
    </comment>
    <comment ref="D10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Минстрой</t>
        </r>
      </text>
    </comment>
    <comment ref="I10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Минстрой</t>
        </r>
      </text>
    </comment>
  </commentList>
</comments>
</file>

<file path=xl/sharedStrings.xml><?xml version="1.0" encoding="utf-8"?>
<sst xmlns="http://schemas.openxmlformats.org/spreadsheetml/2006/main" count="243" uniqueCount="206">
  <si>
    <t>КБК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</si>
  <si>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</si>
  <si>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</si>
  <si>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</si>
  <si>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</si>
  <si>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</si>
  <si>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НК РФ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</si>
  <si>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</si>
  <si>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НК РФ</t>
  </si>
  <si>
    <t>1 01 02030 01 0000 110</t>
  </si>
  <si>
    <t>Налог на доходы физических лиц с доходов, полученных физическими лицами в соответствии со статьей 228 НК РФ (иностранные граждане)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</si>
  <si>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</si>
  <si>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НК РФ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</si>
  <si>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</si>
  <si>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</si>
  <si>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</si>
  <si>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</si>
  <si>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</si>
  <si>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</si>
  <si>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1 05 00000 00 0000 000</t>
  </si>
  <si>
    <t>НАЛОГИ НА СОВОКУПНЫЙ ДОХОД</t>
  </si>
  <si>
    <t xml:space="preserve"> 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</si>
  <si>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</si>
  <si>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</si>
  <si>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</si>
  <si>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</si>
  <si>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</si>
  <si>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1 05 04000 01 0000 110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</si>
  <si>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</si>
  <si>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</si>
  <si>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</si>
  <si>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1 06 01020 04 0000 110 </t>
  </si>
  <si>
    <t>Налог на имущество физических лиц</t>
  </si>
  <si>
    <t xml:space="preserve">1 06 02010 02 0000 110 </t>
  </si>
  <si>
    <t>Налог на имущество организаций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</si>
  <si>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</si>
  <si>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</si>
  <si>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</si>
  <si>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</si>
  <si>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 xml:space="preserve">1 06 06032 04 0000 110 </t>
  </si>
  <si>
    <t>Земельный налог с организаций</t>
  </si>
  <si>
    <t xml:space="preserve">1 06 06040 00 0000 110 </t>
  </si>
  <si>
    <t>Земельный налог с физических лиц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</si>
  <si>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</si>
  <si>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</si>
  <si>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</si>
  <si>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</si>
  <si>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</si>
  <si>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</si>
  <si>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111 01040 04 0000 120 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</si>
  <si>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</si>
  <si>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</si>
  <si>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</si>
  <si>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</si>
  <si>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</si>
  <si>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</si>
  <si>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</si>
  <si>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</si>
  <si>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</si>
  <si>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</si>
  <si>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</si>
  <si>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1 12 01000 01 1000 120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</si>
  <si>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</si>
  <si>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</si>
  <si>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</si>
  <si>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</si>
  <si>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</si>
  <si>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1 13 02994 04 0000 130</t>
  </si>
  <si>
    <t>Прочие доходы от компенсации затрат бюджетов городских округов</t>
  </si>
  <si>
    <t>114  00000 00 0000 000</t>
  </si>
  <si>
    <t>ДОХОДЫ ОТ ПРОДАЖИ МАТЕРИАЛЬНЫХ И НЕМАТЕРИАЛЬНЫХ АКТИВОВ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</si>
  <si>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</si>
  <si>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</si>
  <si>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</si>
  <si>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</si>
  <si>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114  06012 04 0000 430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</si>
  <si>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</si>
  <si>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114  06024 04 0000 430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</si>
  <si>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</si>
  <si>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</si>
  <si>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</si>
  <si>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</si>
  <si>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</si>
  <si>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</si>
  <si>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</si>
  <si>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</si>
  <si>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</si>
  <si>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 xml:space="preserve">2 00 00000 00 0000 000 </t>
  </si>
  <si>
    <t xml:space="preserve">БЕЗВОЗМЕЗДНЫЕ ПОСТУПЛЕНИЯ 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</si>
  <si>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</si>
  <si>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</si>
  <si>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</si>
  <si>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</si>
  <si>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2 02 01003 04 0000 151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</si>
  <si>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</si>
  <si>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</si>
  <si>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</si>
  <si>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</si>
  <si>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субъектов Российской Федерации и муниципальных образований (межбюджетные субсидии)</t>
  </si>
  <si>
    <t>2 02 29999 04 0000 150</t>
  </si>
  <si>
    <t>Субсидии муниципальным образованиям Сахалинской области на софинансирование мероприятий муниципальных программ по поддержке и развитию субъектов малого и среднего предпринимательства</t>
  </si>
  <si>
    <t xml:space="preserve">Субсидии муниципальным образованиям Сахалинской области на создание условий для развития туризма </t>
  </si>
  <si>
    <t xml:space="preserve">Субсидии муниципальным образованиям Сахалинской области на софинансирование расходов муниципальных образований в сфере транспорта и дорожного хозяйства </t>
  </si>
  <si>
    <t xml:space="preserve">Субсидии муниципальным образованиям Сахалинской области на развитие агропромышленного комплекса </t>
  </si>
  <si>
    <t>2 02 25511 04 0000 150</t>
  </si>
  <si>
    <t>Субсидии МО Сахалинской области на проведение комплексных кадастровых работ</t>
  </si>
  <si>
    <t>R5110</t>
  </si>
  <si>
    <t>Субсидии МО Сахалинской области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</si>
  <si>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Субсидии МО Сахалинской области на развитие культуры</t>
  </si>
  <si>
    <t>Субсидии МО Сахалинской области на софинансирование расходных обязательств МО Сахалинской области на поддержку муниципальных программ формирования современной городской среды (ОБ)</t>
  </si>
  <si>
    <t>2 02 25555 04 0000 150</t>
  </si>
  <si>
    <t>Субсидии МО Сахалинской области на софинансирование расходных обязательств МО Сахалинской области на поддержку муниципальных программ формирования современной городской среды (ФБ)</t>
  </si>
  <si>
    <t>Субсидии МО Сахалинской области на развитие образования</t>
  </si>
  <si>
    <t>Субсидии МО Сахалинской области на реализацию мероприятий по ликвидации несанкционированных свалок</t>
  </si>
  <si>
    <t>Субсидии МО Сахалинской области на развитие физической культуры и спорта</t>
  </si>
  <si>
    <t>Субсидии МО Сахалинской области на реализацию мероприятий по обустройству (созданию) мест (площадок) накопления твердых коммунальных отходов</t>
  </si>
  <si>
    <t>2 02 25027 04 0000 150</t>
  </si>
  <si>
    <t>Субсидии МО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</si>
  <si>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Субсидии МО Сахалинской области на обеспечение населения качественным жильем</t>
  </si>
  <si>
    <t>2 02 25497 04 0000 150</t>
  </si>
  <si>
    <t>R4970</t>
  </si>
  <si>
    <t>Субсидии МО Сахалинской области на организацию электро- тепло- и газоснабжения</t>
  </si>
  <si>
    <t>Субсидии МО Сахалинской области на реализацию инициативных проектов в Сахалинской области</t>
  </si>
  <si>
    <t>2 02 20077 04 0000 150</t>
  </si>
  <si>
    <t>Субсидии МО Сахалинской области на софинансирование капитальных вложений в объекты муниципальной собственности</t>
  </si>
  <si>
    <t>Субсидии МО на осуществление мероприятий по повышению качества предоставляемых жилищно-коммунальных услуг</t>
  </si>
  <si>
    <t>2 02 30000 00 0000 150</t>
  </si>
  <si>
    <t>Субвенции бюджетам субъектов Российской Федерации и муниципальных образований</t>
  </si>
  <si>
    <t>2 02 3024 04 0000 150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</si>
  <si>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</t>
  </si>
  <si>
    <t>2 02 3029 04 0000 150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</si>
  <si>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(компенсация родительской платы)</t>
  </si>
  <si>
    <t>2 02 35120 04 0000 150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</si>
  <si>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</si>
  <si>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2 02 30024 04 0000 150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</si>
  <si>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</si>
  <si>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Субвенции муниципальным образованиям Сахалинской области на реализацию ЗСО "О социальной поддежрке отдельных категорий граждан, проживающих и работающих в сельской местности,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</si>
  <si>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Субвенция на реализацию Закона Сахалинской области "Об административных комиссиях в Сахалинской области"</t>
  </si>
  <si>
    <t xml:space="preserve">Субвенция  на реализацию Закона Сахалинской области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 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</si>
  <si>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</si>
  <si>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Субвенция на реализацию Закона Сахалинской области "О дополнительной гарантии молодежи, проживающей и работающей в Сахалинской области"</t>
  </si>
  <si>
    <t>Субвенция на реализацию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</si>
  <si>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Субвенция на реализацию Закона Сахалинской области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</si>
  <si>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(Организация и осущ.деятельности, мебель и проезд, недееспособные)</t>
  </si>
  <si>
    <t>2 02 30027 04 0000 150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</si>
  <si>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(Вознаграждение прием.родителям и содерж.ребенка в приемной семье)</t>
  </si>
  <si>
    <t>2 02 35082 04 0000 150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</si>
  <si>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Жилье детям-сиротам ФБ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</si>
  <si>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</si>
  <si>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Субвенция на реализацию ЗСО "О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организациях"</t>
  </si>
  <si>
    <t>2 02 35304 04 0000 150</t>
  </si>
  <si>
    <t>R3040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</si>
  <si>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 в сфере защиты исконной среды обитания, традиционных образа жизни, хозяйствования и промыслов коренных малочисленных народов, проживающих на территории Сахалинской области"</t>
  </si>
  <si>
    <t>2 02 40000 00 0000 150</t>
  </si>
  <si>
    <t>Иные межбюджетные трансферты</t>
  </si>
  <si>
    <t>2 02 45303 04 0000 150</t>
  </si>
  <si>
    <t>Иные межбюджетные трансферты на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общего, среднего общего образования, в том числе адаптированные основные общеобразовательные программы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</si>
  <si>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</si>
  <si>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РФ, входящих в состав ДФО</t>
  </si>
  <si>
    <t>2 02 49999 04 0000 150</t>
  </si>
  <si>
    <t>Субвенция на реализацию Закона Сахалинской области от 18.03.2014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организациях. получения детьми дополнительного образования в муниципальных общеобразовательных организациях</t>
  </si>
  <si>
    <t>Субвенция на реализацию Закона Сахалинской области от 18.03.2014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организациях. получения детьми дополнительного образования в муниципальных общеобразовательных организациях</t>
  </si>
  <si>
    <t>Субсидия на оказание содействия в подготовке проведения общероссийского голосования по вопросу одобрения изменений в Конституцию Российской Федерации, а также в информировании граждан Российской Федерации о такой подготовке</t>
  </si>
  <si>
    <t>87000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</si>
  <si>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</si>
  <si>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2 07 00000 00 0000 150</t>
  </si>
  <si>
    <t>ПРОЧИЕ БЕЗВОЗМЕЗДНЫЕ ПОСТУПЛЕНИЯ</t>
  </si>
  <si>
    <t>2 07 04000 04 0000 150</t>
  </si>
  <si>
    <t>Прочие безвозмездные постуления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</si>
  <si>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</si>
  <si>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</si>
  <si>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2 18 04010 04 0000 150 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</si>
  <si>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</si>
  <si>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</si>
  <si>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</si>
  <si>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</si>
  <si>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</si>
  <si>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</si>
  <si>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</si>
  <si>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Наименование доходов</t>
  </si>
  <si>
    <t>R5190</t>
  </si>
  <si>
    <t>Субсидии бюджетам городских округов на поддержку отрасли культуры
 (книжный фонд библиотеки)</t>
  </si>
  <si>
    <t>2 02 25519 04 0000 150</t>
  </si>
  <si>
    <t>ПОСТУПЛЕНИЕ ДОХОДОВ ПО ГРУППАМ, ПОДГРУППАМ И СТАТЬЯМ БЮДЖЕТНОЙ</t>
  </si>
  <si>
    <t>КЛАССИФИКАЦИИ РФ В БЮДЖЕТ МО "ГОРОДСКОЙ ОКРУГ НОГЛИКСКИЙ"</t>
  </si>
  <si>
    <t>Утверждено решением Собрания МО от 09.12.21 № 186</t>
  </si>
  <si>
    <t>Д5550; 55550</t>
  </si>
  <si>
    <t>62500; 70601</t>
  </si>
  <si>
    <t>62260; R5150</t>
  </si>
  <si>
    <t>ЦСТ</t>
  </si>
  <si>
    <t>Плановые назначения на 2022 год</t>
  </si>
  <si>
    <t>По проекту решения</t>
  </si>
  <si>
    <t>Отклонение от плана, утвержденного решением Собрания</t>
  </si>
  <si>
    <t>Плановые назначения на 2023 год</t>
  </si>
  <si>
    <t>Плановые назначения на 2024 год</t>
  </si>
  <si>
    <t>Уведомления ЗСО № 107-ЗО от 22.12.21</t>
  </si>
  <si>
    <t xml:space="preserve">2 02 04067 04 0000 150  </t>
  </si>
  <si>
    <t xml:space="preserve">2 18 04030 04 0000 150 </t>
  </si>
  <si>
    <t>2 02 25520 04 0000 150</t>
  </si>
  <si>
    <t>Субсидии МО Сахалинской области на реализацию мероприятий по созданию в субъектах РФ новых мест в общеобразовательных организациях</t>
  </si>
  <si>
    <t>5550; R5050</t>
  </si>
  <si>
    <t xml:space="preserve">Уведомления (Постановления ПСО) </t>
  </si>
  <si>
    <t>Данные главных администраторов</t>
  </si>
  <si>
    <t>1 11 05326 04 0000 120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</si>
  <si>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</si>
  <si>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НА 2022 - 2024 ГОДЫ (ПОПРАВКИ АПРЕЛЬ)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</si>
</sst>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color indexed="8"/>
      <name val="Times New Roman"/>
      <family val="1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80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horizontal="right" wrapText="1"/>
    </xf>
    <xf numFmtId="0" fontId="2" fillId="0" borderId="0" xfId="0" applyFont="1"/>
    <xf numFmtId="0" fontId="6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11" fillId="0" borderId="2" xfId="0" applyNumberFormat="1" applyFont="1" applyFill="1" applyBorder="1" applyAlignment="1">
      <alignment horizontal="center" vertical="top" wrapText="1"/>
    </xf>
    <xf numFmtId="0" fontId="1" fillId="0" borderId="1" xfId="2" applyFont="1" applyFill="1" applyBorder="1" applyAlignment="1" applyProtection="1">
      <protection locked="0"/>
    </xf>
    <xf numFmtId="164" fontId="1" fillId="0" borderId="2" xfId="0" applyNumberFormat="1" applyFont="1" applyFill="1" applyBorder="1" applyAlignment="1">
      <alignment horizontal="center" vertical="top" wrapText="1"/>
    </xf>
    <xf numFmtId="0" fontId="1" fillId="0" borderId="2" xfId="1" applyFont="1" applyBorder="1" applyAlignment="1">
      <alignment horizontal="center"/>
    </xf>
    <xf numFmtId="0" fontId="1" fillId="2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0" fontId="1" fillId="2" borderId="2" xfId="1" applyNumberFormat="1" applyFont="1" applyFill="1" applyBorder="1" applyAlignment="1">
      <alignment horizontal="left" wrapText="1"/>
    </xf>
    <xf numFmtId="165" fontId="1" fillId="0" borderId="2" xfId="1" applyNumberFormat="1" applyFont="1" applyFill="1" applyBorder="1" applyAlignment="1">
      <alignment horizontal="right"/>
    </xf>
    <xf numFmtId="0" fontId="1" fillId="2" borderId="2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left" wrapText="1"/>
    </xf>
    <xf numFmtId="165" fontId="1" fillId="0" borderId="2" xfId="0" applyNumberFormat="1" applyFont="1" applyFill="1" applyBorder="1" applyAlignment="1" applyProtection="1">
      <alignment horizontal="right"/>
      <protection locked="0"/>
    </xf>
    <xf numFmtId="165" fontId="1" fillId="0" borderId="2" xfId="0" applyNumberFormat="1" applyFont="1" applyFill="1" applyBorder="1" applyAlignment="1" applyProtection="1">
      <alignment horizontal="right" wrapText="1"/>
      <protection locked="0"/>
    </xf>
    <xf numFmtId="0" fontId="12" fillId="0" borderId="2" xfId="0" applyFont="1" applyBorder="1" applyAlignment="1">
      <alignment horizontal="center"/>
    </xf>
    <xf numFmtId="0" fontId="12" fillId="0" borderId="2" xfId="0" applyNumberFormat="1" applyFont="1" applyBorder="1" applyAlignment="1">
      <alignment horizontal="left" wrapText="1"/>
    </xf>
    <xf numFmtId="0" fontId="11" fillId="0" borderId="2" xfId="1" applyFont="1" applyBorder="1" applyAlignment="1">
      <alignment horizontal="center"/>
    </xf>
    <xf numFmtId="0" fontId="11" fillId="2" borderId="2" xfId="1" applyNumberFormat="1" applyFont="1" applyFill="1" applyBorder="1" applyAlignment="1">
      <alignment horizontal="left"/>
    </xf>
    <xf numFmtId="165" fontId="11" fillId="0" borderId="2" xfId="1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>
      <alignment horizontal="left" wrapText="1"/>
    </xf>
    <xf numFmtId="0" fontId="13" fillId="0" borderId="2" xfId="1" applyFont="1" applyBorder="1" applyAlignment="1">
      <alignment horizontal="center"/>
    </xf>
    <xf numFmtId="0" fontId="13" fillId="2" borderId="2" xfId="1" applyNumberFormat="1" applyFont="1" applyFill="1" applyBorder="1" applyAlignment="1">
      <alignment horizontal="left" wrapText="1"/>
    </xf>
    <xf numFmtId="0" fontId="14" fillId="0" borderId="2" xfId="1" applyFont="1" applyBorder="1" applyAlignment="1">
      <alignment horizontal="center"/>
    </xf>
    <xf numFmtId="0" fontId="14" fillId="2" borderId="2" xfId="1" applyNumberFormat="1" applyFont="1" applyFill="1" applyBorder="1" applyAlignment="1">
      <alignment horizontal="left" wrapText="1"/>
    </xf>
    <xf numFmtId="165" fontId="14" fillId="0" borderId="2" xfId="1" applyNumberFormat="1" applyFont="1" applyFill="1" applyBorder="1" applyAlignment="1">
      <alignment horizontal="right"/>
    </xf>
    <xf numFmtId="0" fontId="14" fillId="0" borderId="2" xfId="1" applyFont="1" applyFill="1" applyBorder="1" applyAlignment="1">
      <alignment horizontal="center"/>
    </xf>
    <xf numFmtId="49" fontId="1" fillId="0" borderId="2" xfId="1" applyNumberFormat="1" applyFont="1" applyBorder="1" applyAlignment="1">
      <alignment horizontal="center"/>
    </xf>
    <xf numFmtId="0" fontId="1" fillId="0" borderId="2" xfId="0" applyNumberFormat="1" applyFont="1" applyBorder="1" applyAlignment="1" applyProtection="1">
      <alignment horizontal="center"/>
      <protection locked="0"/>
    </xf>
    <xf numFmtId="0" fontId="1" fillId="0" borderId="2" xfId="0" applyNumberFormat="1" applyFont="1" applyBorder="1" applyAlignment="1" applyProtection="1">
      <alignment horizontal="left" wrapText="1" justifyLastLine="1"/>
      <protection locked="0"/>
    </xf>
    <xf numFmtId="0" fontId="15" fillId="0" borderId="2" xfId="1" applyFont="1" applyBorder="1" applyAlignment="1">
      <alignment horizontal="center"/>
    </xf>
    <xf numFmtId="0" fontId="15" fillId="2" borderId="2" xfId="1" applyNumberFormat="1" applyFont="1" applyFill="1" applyBorder="1" applyAlignment="1">
      <alignment horizontal="left" wrapText="1"/>
    </xf>
    <xf numFmtId="0" fontId="16" fillId="2" borderId="2" xfId="1" applyNumberFormat="1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right"/>
    </xf>
    <xf numFmtId="0" fontId="17" fillId="3" borderId="2" xfId="0" applyFont="1" applyFill="1" applyBorder="1" applyAlignment="1">
      <alignment horizontal="left" wrapText="1"/>
    </xf>
    <xf numFmtId="0" fontId="12" fillId="0" borderId="2" xfId="0" applyFont="1" applyBorder="1"/>
    <xf numFmtId="0" fontId="12" fillId="0" borderId="2" xfId="0" applyFont="1" applyBorder="1" applyAlignment="1">
      <alignment horizontal="left" wrapText="1"/>
    </xf>
    <xf numFmtId="0" fontId="12" fillId="0" borderId="2" xfId="0" applyFont="1" applyFill="1" applyBorder="1" applyAlignment="1"/>
    <xf numFmtId="0" fontId="16" fillId="0" borderId="2" xfId="1" applyNumberFormat="1" applyFont="1" applyFill="1" applyBorder="1" applyAlignment="1">
      <alignment horizontal="left" wrapText="1"/>
    </xf>
    <xf numFmtId="0" fontId="13" fillId="0" borderId="2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left" wrapText="1"/>
    </xf>
    <xf numFmtId="0" fontId="13" fillId="0" borderId="2" xfId="1" applyNumberFormat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0" fontId="1" fillId="0" borderId="2" xfId="1" applyFont="1" applyFill="1" applyBorder="1" applyAlignment="1">
      <alignment wrapText="1"/>
    </xf>
    <xf numFmtId="0" fontId="17" fillId="0" borderId="2" xfId="0" applyNumberFormat="1" applyFont="1" applyFill="1" applyBorder="1" applyAlignment="1">
      <alignment horizontal="left" wrapText="1"/>
    </xf>
    <xf numFmtId="0" fontId="12" fillId="0" borderId="2" xfId="0" applyFont="1" applyFill="1" applyBorder="1" applyAlignment="1">
      <alignment wrapText="1"/>
    </xf>
    <xf numFmtId="0" fontId="1" fillId="0" borderId="2" xfId="1" applyFont="1" applyBorder="1" applyAlignment="1">
      <alignment horizontal="center" wrapText="1"/>
    </xf>
    <xf numFmtId="0" fontId="1" fillId="0" borderId="2" xfId="1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right" wrapText="1"/>
    </xf>
    <xf numFmtId="49" fontId="12" fillId="0" borderId="2" xfId="0" applyNumberFormat="1" applyFont="1" applyFill="1" applyBorder="1" applyAlignment="1">
      <alignment horizontal="right"/>
    </xf>
    <xf numFmtId="0" fontId="18" fillId="0" borderId="2" xfId="0" applyFont="1" applyFill="1" applyBorder="1" applyAlignment="1"/>
    <xf numFmtId="165" fontId="12" fillId="0" borderId="2" xfId="0" applyNumberFormat="1" applyFont="1" applyFill="1" applyBorder="1" applyAlignment="1">
      <alignment horizontal="right"/>
    </xf>
    <xf numFmtId="0" fontId="1" fillId="0" borderId="2" xfId="1" applyNumberFormat="1" applyFont="1" applyFill="1" applyBorder="1" applyAlignment="1">
      <alignment horizontal="left"/>
    </xf>
    <xf numFmtId="0" fontId="2" fillId="0" borderId="0" xfId="0" applyFont="1" applyFill="1"/>
    <xf numFmtId="164" fontId="1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165" fontId="12" fillId="0" borderId="2" xfId="0" applyNumberFormat="1" applyFont="1" applyFill="1" applyBorder="1"/>
    <xf numFmtId="0" fontId="1" fillId="0" borderId="2" xfId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 justifyLastLine="1"/>
    </xf>
    <xf numFmtId="0" fontId="11" fillId="0" borderId="3" xfId="0" applyNumberFormat="1" applyFont="1" applyBorder="1" applyAlignment="1">
      <alignment horizontal="center" vertical="center" justifyLastLine="1"/>
    </xf>
    <xf numFmtId="0" fontId="11" fillId="0" borderId="4" xfId="0" applyNumberFormat="1" applyFont="1" applyBorder="1" applyAlignment="1">
      <alignment horizontal="center" vertical="center" justifyLastLine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 applyProtection="1">
      <alignment horizontal="righ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116"/>
  <sheetViews>
    <sheetView tabSelected="1" topLeftCell="A60" zoomScale="80" zoomScaleNormal="80" zoomScaleSheetLayoutView="80" workbookViewId="0">
      <selection activeCell="E14" sqref="E14"/>
    </sheetView>
  </sheetViews>
  <sheetFormatPr defaultRowHeight="15.75" x14ac:dyDescent="0.25"/>
  <cols>
    <col min="1" max="1" width="25.42578125" style="5" customWidth="1"/>
    <col min="2" max="2" width="48.140625" style="2" customWidth="1"/>
    <col min="3" max="3" width="14.28515625" style="2" customWidth="1"/>
    <col min="4" max="5" width="14.7109375" style="7" customWidth="1"/>
    <col min="6" max="7" width="16.85546875" style="7" customWidth="1"/>
    <col min="8" max="8" width="16.5703125" style="9" customWidth="1"/>
    <col min="9" max="9" width="14" style="10" customWidth="1"/>
    <col min="10" max="10" width="13.7109375" style="8" customWidth="1"/>
    <col min="11" max="11" width="14.5703125" style="8" customWidth="1"/>
    <col min="12" max="12" width="17" style="8" customWidth="1"/>
    <col min="13" max="14" width="13.7109375" style="8" customWidth="1"/>
    <col min="15" max="15" width="15" style="62" customWidth="1"/>
    <col min="16" max="16" width="16.140625" style="62" customWidth="1"/>
    <col min="17" max="17" width="12.7109375" style="62" customWidth="1"/>
    <col min="18" max="16384" width="9.140625" style="5"/>
  </cols>
  <sheetData>
    <row r="1" spans="1:17" ht="23.25" customHeight="1" x14ac:dyDescent="0.25">
      <c r="A1" s="68" t="s">
        <v>183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17" ht="20.25" customHeight="1" x14ac:dyDescent="0.25">
      <c r="A2" s="68" t="s">
        <v>184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7" s="2" customFormat="1" ht="21" customHeight="1" x14ac:dyDescent="0.25">
      <c r="A3" s="68" t="s">
        <v>205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x14ac:dyDescent="0.25">
      <c r="A4" s="3"/>
      <c r="B4" s="3"/>
      <c r="C4" s="3"/>
      <c r="D4" s="4"/>
      <c r="E4" s="4"/>
      <c r="F4" s="4"/>
      <c r="G4" s="4"/>
      <c r="I4" s="12"/>
      <c r="J4" s="12"/>
      <c r="K4" s="12"/>
      <c r="L4" s="12"/>
      <c r="M4" s="12"/>
      <c r="N4" s="12"/>
      <c r="P4" s="79"/>
      <c r="Q4" s="79"/>
    </row>
    <row r="5" spans="1:17" ht="15.75" customHeight="1" x14ac:dyDescent="0.25">
      <c r="A5" s="69" t="s">
        <v>0</v>
      </c>
      <c r="B5" s="70" t="s">
        <v>179</v>
      </c>
      <c r="C5" s="71" t="s">
        <v>189</v>
      </c>
      <c r="D5" s="73" t="s">
        <v>190</v>
      </c>
      <c r="E5" s="74"/>
      <c r="F5" s="74"/>
      <c r="G5" s="74"/>
      <c r="H5" s="74"/>
      <c r="I5" s="75"/>
      <c r="J5" s="73" t="s">
        <v>193</v>
      </c>
      <c r="K5" s="74"/>
      <c r="L5" s="74"/>
      <c r="M5" s="75"/>
      <c r="N5" s="76" t="s">
        <v>194</v>
      </c>
      <c r="O5" s="77"/>
      <c r="P5" s="77"/>
      <c r="Q5" s="78"/>
    </row>
    <row r="6" spans="1:17" ht="92.25" customHeight="1" x14ac:dyDescent="0.25">
      <c r="A6" s="69"/>
      <c r="B6" s="70"/>
      <c r="C6" s="72"/>
      <c r="D6" s="63" t="s">
        <v>185</v>
      </c>
      <c r="E6" s="11" t="s">
        <v>195</v>
      </c>
      <c r="F6" s="11" t="s">
        <v>201</v>
      </c>
      <c r="G6" s="11" t="s">
        <v>202</v>
      </c>
      <c r="H6" s="11" t="s">
        <v>192</v>
      </c>
      <c r="I6" s="13" t="s">
        <v>191</v>
      </c>
      <c r="J6" s="63" t="s">
        <v>185</v>
      </c>
      <c r="K6" s="11" t="s">
        <v>195</v>
      </c>
      <c r="L6" s="11" t="s">
        <v>192</v>
      </c>
      <c r="M6" s="13" t="s">
        <v>191</v>
      </c>
      <c r="N6" s="64" t="s">
        <v>185</v>
      </c>
      <c r="O6" s="11" t="s">
        <v>195</v>
      </c>
      <c r="P6" s="13" t="s">
        <v>192</v>
      </c>
      <c r="Q6" s="13" t="s">
        <v>191</v>
      </c>
    </row>
    <row r="7" spans="1:17" x14ac:dyDescent="0.25">
      <c r="A7" s="14">
        <v>1</v>
      </c>
      <c r="B7" s="15">
        <v>2</v>
      </c>
      <c r="C7" s="15">
        <v>3</v>
      </c>
      <c r="D7" s="16">
        <v>4</v>
      </c>
      <c r="E7" s="16">
        <v>5</v>
      </c>
      <c r="F7" s="16">
        <v>6</v>
      </c>
      <c r="G7" s="16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65">
        <v>15</v>
      </c>
      <c r="P7" s="65">
        <v>16</v>
      </c>
      <c r="Q7" s="65">
        <v>17</v>
      </c>
    </row>
    <row r="8" spans="1:17" x14ac:dyDescent="0.25">
      <c r="A8" s="14" t="s">
        <v>1</v>
      </c>
      <c r="B8" s="18" t="s">
        <v>2</v>
      </c>
      <c r="C8" s="18"/>
      <c r="D8" s="19">
        <f t="shared" ref="D8:F8" si="0">SUM(D9+D15+D17+D22+D29+D30+D31+D38+D40+D43+D48+D49)</f>
        <v>942381.39999999991</v>
      </c>
      <c r="E8" s="19">
        <f t="shared" si="0"/>
        <v>0</v>
      </c>
      <c r="F8" s="19">
        <f t="shared" si="0"/>
        <v>0</v>
      </c>
      <c r="G8" s="19">
        <f>SUM(G9+G15+G17+G22+G29+G30+G31+G38+G40+G43+G48+G49)</f>
        <v>916830.5</v>
      </c>
      <c r="H8" s="19">
        <f>G8-D8</f>
        <v>-25550.899999999907</v>
      </c>
      <c r="I8" s="19">
        <f>D8+H8</f>
        <v>916830.5</v>
      </c>
      <c r="J8" s="19">
        <f t="shared" ref="J8:O8" si="1">SUM(J9+J15+J17+J22+J29+J30+J31+J38+J40+J43+J48+J49)</f>
        <v>961576.10000000009</v>
      </c>
      <c r="K8" s="19">
        <f t="shared" si="1"/>
        <v>0</v>
      </c>
      <c r="L8" s="19">
        <f>K8</f>
        <v>0</v>
      </c>
      <c r="M8" s="19">
        <f>J8-K8</f>
        <v>961576.10000000009</v>
      </c>
      <c r="N8" s="19">
        <f t="shared" si="1"/>
        <v>982001.8</v>
      </c>
      <c r="O8" s="19">
        <f t="shared" si="1"/>
        <v>0</v>
      </c>
      <c r="P8" s="66">
        <f>O8</f>
        <v>0</v>
      </c>
      <c r="Q8" s="66">
        <f>N8-P8</f>
        <v>982001.8</v>
      </c>
    </row>
    <row r="9" spans="1:17" x14ac:dyDescent="0.25">
      <c r="A9" s="14" t="s">
        <v>3</v>
      </c>
      <c r="B9" s="18" t="s">
        <v>4</v>
      </c>
      <c r="C9" s="18"/>
      <c r="D9" s="19">
        <f t="shared" ref="D9:G9" si="2">SUM(D10:D14)</f>
        <v>611579.29999999993</v>
      </c>
      <c r="E9" s="19">
        <f t="shared" si="2"/>
        <v>0</v>
      </c>
      <c r="F9" s="19">
        <f t="shared" si="2"/>
        <v>0</v>
      </c>
      <c r="G9" s="19">
        <f t="shared" si="2"/>
        <v>611579.29999999993</v>
      </c>
      <c r="H9" s="19">
        <f t="shared" ref="H9:H49" si="3">G9-D9</f>
        <v>0</v>
      </c>
      <c r="I9" s="19">
        <f t="shared" ref="I9:I51" si="4">D9+H9</f>
        <v>611579.29999999993</v>
      </c>
      <c r="J9" s="19">
        <f t="shared" ref="J9:O9" si="5">SUM(J10:J14)</f>
        <v>624826.20000000007</v>
      </c>
      <c r="K9" s="19">
        <f t="shared" si="5"/>
        <v>0</v>
      </c>
      <c r="L9" s="19">
        <f t="shared" ref="L9:L51" si="6">K9</f>
        <v>0</v>
      </c>
      <c r="M9" s="19">
        <f t="shared" ref="M9:M49" si="7">J9-K9</f>
        <v>624826.20000000007</v>
      </c>
      <c r="N9" s="19">
        <f t="shared" si="5"/>
        <v>640976.60000000009</v>
      </c>
      <c r="O9" s="19">
        <f t="shared" si="5"/>
        <v>0</v>
      </c>
      <c r="P9" s="66">
        <f t="shared" ref="P9:P49" si="8">O9</f>
        <v>0</v>
      </c>
      <c r="Q9" s="66">
        <f t="shared" ref="Q9:Q49" si="9">N9-P9</f>
        <v>640976.60000000009</v>
      </c>
    </row>
    <row r="10" spans="1:17" ht="75" x14ac:dyDescent="0.25">
      <c r="A10" s="20" t="s">
        <v>5</v>
      </c>
      <c r="B10" s="21" t="s">
        <v>6</v>
      </c>
      <c r="C10" s="21"/>
      <c r="D10" s="22">
        <v>584383.80000000005</v>
      </c>
      <c r="E10" s="22">
        <v>0</v>
      </c>
      <c r="F10" s="22">
        <v>0</v>
      </c>
      <c r="G10" s="22">
        <v>584383.80000000005</v>
      </c>
      <c r="H10" s="19">
        <f t="shared" si="3"/>
        <v>0</v>
      </c>
      <c r="I10" s="19">
        <f t="shared" si="4"/>
        <v>584383.80000000005</v>
      </c>
      <c r="J10" s="22">
        <v>596542.80000000005</v>
      </c>
      <c r="K10" s="22">
        <v>0</v>
      </c>
      <c r="L10" s="19">
        <f t="shared" si="6"/>
        <v>0</v>
      </c>
      <c r="M10" s="19">
        <f t="shared" si="7"/>
        <v>596542.80000000005</v>
      </c>
      <c r="N10" s="22">
        <v>611561.9</v>
      </c>
      <c r="O10" s="66">
        <v>0</v>
      </c>
      <c r="P10" s="66">
        <f t="shared" si="8"/>
        <v>0</v>
      </c>
      <c r="Q10" s="66">
        <f t="shared" si="9"/>
        <v>611561.9</v>
      </c>
    </row>
    <row r="11" spans="1:17" ht="120" x14ac:dyDescent="0.25">
      <c r="A11" s="20" t="s">
        <v>7</v>
      </c>
      <c r="B11" s="18" t="s">
        <v>8</v>
      </c>
      <c r="C11" s="18"/>
      <c r="D11" s="22">
        <v>344.2</v>
      </c>
      <c r="E11" s="22">
        <v>0</v>
      </c>
      <c r="F11" s="22">
        <v>0</v>
      </c>
      <c r="G11" s="22">
        <v>344.2</v>
      </c>
      <c r="H11" s="19">
        <f t="shared" si="3"/>
        <v>0</v>
      </c>
      <c r="I11" s="19">
        <f t="shared" si="4"/>
        <v>344.2</v>
      </c>
      <c r="J11" s="22">
        <v>358</v>
      </c>
      <c r="K11" s="22">
        <v>0</v>
      </c>
      <c r="L11" s="19">
        <f t="shared" si="6"/>
        <v>0</v>
      </c>
      <c r="M11" s="19">
        <f t="shared" si="7"/>
        <v>358</v>
      </c>
      <c r="N11" s="22">
        <v>372.3</v>
      </c>
      <c r="O11" s="66">
        <v>0</v>
      </c>
      <c r="P11" s="66">
        <f t="shared" si="8"/>
        <v>0</v>
      </c>
      <c r="Q11" s="66">
        <f t="shared" si="9"/>
        <v>372.3</v>
      </c>
    </row>
    <row r="12" spans="1:17" ht="45" x14ac:dyDescent="0.25">
      <c r="A12" s="20" t="s">
        <v>9</v>
      </c>
      <c r="B12" s="21" t="s">
        <v>10</v>
      </c>
      <c r="C12" s="21"/>
      <c r="D12" s="22">
        <v>2434.6999999999998</v>
      </c>
      <c r="E12" s="22">
        <v>0</v>
      </c>
      <c r="F12" s="22">
        <v>0</v>
      </c>
      <c r="G12" s="22">
        <v>2434.6999999999998</v>
      </c>
      <c r="H12" s="19">
        <f t="shared" si="3"/>
        <v>0</v>
      </c>
      <c r="I12" s="19">
        <f t="shared" si="4"/>
        <v>2434.6999999999998</v>
      </c>
      <c r="J12" s="22">
        <v>2532.1</v>
      </c>
      <c r="K12" s="22">
        <v>0</v>
      </c>
      <c r="L12" s="19">
        <f t="shared" si="6"/>
        <v>0</v>
      </c>
      <c r="M12" s="19">
        <f t="shared" si="7"/>
        <v>2532.1</v>
      </c>
      <c r="N12" s="22">
        <v>2633.4</v>
      </c>
      <c r="O12" s="66">
        <v>0</v>
      </c>
      <c r="P12" s="66">
        <f t="shared" si="8"/>
        <v>0</v>
      </c>
      <c r="Q12" s="66">
        <f t="shared" si="9"/>
        <v>2633.4</v>
      </c>
    </row>
    <row r="13" spans="1:17" ht="105" x14ac:dyDescent="0.25">
      <c r="A13" s="20" t="s">
        <v>11</v>
      </c>
      <c r="B13" s="18" t="s">
        <v>12</v>
      </c>
      <c r="C13" s="18"/>
      <c r="D13" s="22">
        <v>1395.7</v>
      </c>
      <c r="E13" s="22">
        <v>0</v>
      </c>
      <c r="F13" s="22">
        <v>0</v>
      </c>
      <c r="G13" s="22">
        <v>1395.7</v>
      </c>
      <c r="H13" s="19">
        <f t="shared" si="3"/>
        <v>0</v>
      </c>
      <c r="I13" s="19">
        <f t="shared" si="4"/>
        <v>1395.7</v>
      </c>
      <c r="J13" s="22">
        <v>1451.5</v>
      </c>
      <c r="K13" s="22">
        <v>0</v>
      </c>
      <c r="L13" s="19">
        <f t="shared" si="6"/>
        <v>0</v>
      </c>
      <c r="M13" s="19">
        <f t="shared" si="7"/>
        <v>1451.5</v>
      </c>
      <c r="N13" s="22">
        <v>1509.6</v>
      </c>
      <c r="O13" s="66">
        <v>0</v>
      </c>
      <c r="P13" s="66">
        <f t="shared" si="8"/>
        <v>0</v>
      </c>
      <c r="Q13" s="66">
        <f t="shared" si="9"/>
        <v>1509.6</v>
      </c>
    </row>
    <row r="14" spans="1:17" ht="60" x14ac:dyDescent="0.25">
      <c r="A14" s="20" t="s">
        <v>13</v>
      </c>
      <c r="B14" s="18" t="s">
        <v>14</v>
      </c>
      <c r="C14" s="18"/>
      <c r="D14" s="22">
        <v>23020.9</v>
      </c>
      <c r="E14" s="22">
        <v>0</v>
      </c>
      <c r="F14" s="22">
        <v>0</v>
      </c>
      <c r="G14" s="22">
        <v>23020.9</v>
      </c>
      <c r="H14" s="19">
        <f t="shared" si="3"/>
        <v>0</v>
      </c>
      <c r="I14" s="19">
        <f t="shared" si="4"/>
        <v>23020.9</v>
      </c>
      <c r="J14" s="23">
        <v>23941.8</v>
      </c>
      <c r="K14" s="23">
        <v>0</v>
      </c>
      <c r="L14" s="19">
        <f t="shared" si="6"/>
        <v>0</v>
      </c>
      <c r="M14" s="19">
        <f t="shared" si="7"/>
        <v>23941.8</v>
      </c>
      <c r="N14" s="23">
        <v>24899.4</v>
      </c>
      <c r="O14" s="66">
        <v>0</v>
      </c>
      <c r="P14" s="66">
        <f t="shared" si="8"/>
        <v>0</v>
      </c>
      <c r="Q14" s="66">
        <f t="shared" si="9"/>
        <v>24899.4</v>
      </c>
    </row>
    <row r="15" spans="1:17" ht="30" x14ac:dyDescent="0.25">
      <c r="A15" s="24" t="s">
        <v>15</v>
      </c>
      <c r="B15" s="25" t="s">
        <v>16</v>
      </c>
      <c r="C15" s="25"/>
      <c r="D15" s="19">
        <f t="shared" ref="D15:O15" si="10">D16</f>
        <v>7135.5</v>
      </c>
      <c r="E15" s="19">
        <f t="shared" si="10"/>
        <v>0</v>
      </c>
      <c r="F15" s="19">
        <f t="shared" si="10"/>
        <v>0</v>
      </c>
      <c r="G15" s="19">
        <f t="shared" si="10"/>
        <v>7497.3</v>
      </c>
      <c r="H15" s="19">
        <f t="shared" si="3"/>
        <v>361.80000000000018</v>
      </c>
      <c r="I15" s="19">
        <f t="shared" si="4"/>
        <v>7497.3</v>
      </c>
      <c r="J15" s="19">
        <f t="shared" si="10"/>
        <v>8197</v>
      </c>
      <c r="K15" s="19">
        <f t="shared" si="10"/>
        <v>0</v>
      </c>
      <c r="L15" s="19">
        <f t="shared" si="6"/>
        <v>0</v>
      </c>
      <c r="M15" s="19">
        <f t="shared" si="7"/>
        <v>8197</v>
      </c>
      <c r="N15" s="19">
        <f t="shared" si="10"/>
        <v>8197</v>
      </c>
      <c r="O15" s="19">
        <f t="shared" si="10"/>
        <v>0</v>
      </c>
      <c r="P15" s="66">
        <f t="shared" si="8"/>
        <v>0</v>
      </c>
      <c r="Q15" s="66">
        <f t="shared" si="9"/>
        <v>8197</v>
      </c>
    </row>
    <row r="16" spans="1:17" ht="30" x14ac:dyDescent="0.25">
      <c r="A16" s="24" t="s">
        <v>17</v>
      </c>
      <c r="B16" s="25" t="s">
        <v>18</v>
      </c>
      <c r="C16" s="25"/>
      <c r="D16" s="22">
        <v>7135.5</v>
      </c>
      <c r="E16" s="22">
        <v>0</v>
      </c>
      <c r="F16" s="22">
        <v>0</v>
      </c>
      <c r="G16" s="22">
        <v>7497.3</v>
      </c>
      <c r="H16" s="19">
        <f t="shared" si="3"/>
        <v>361.80000000000018</v>
      </c>
      <c r="I16" s="19">
        <f t="shared" si="4"/>
        <v>7497.3</v>
      </c>
      <c r="J16" s="22">
        <v>8197</v>
      </c>
      <c r="K16" s="22">
        <v>0</v>
      </c>
      <c r="L16" s="19">
        <f t="shared" si="6"/>
        <v>0</v>
      </c>
      <c r="M16" s="19">
        <f t="shared" si="7"/>
        <v>8197</v>
      </c>
      <c r="N16" s="22">
        <v>8197</v>
      </c>
      <c r="O16" s="66">
        <v>0</v>
      </c>
      <c r="P16" s="66">
        <f t="shared" si="8"/>
        <v>0</v>
      </c>
      <c r="Q16" s="66">
        <f t="shared" si="9"/>
        <v>8197</v>
      </c>
    </row>
    <row r="17" spans="1:17" x14ac:dyDescent="0.25">
      <c r="A17" s="26" t="s">
        <v>19</v>
      </c>
      <c r="B17" s="27" t="s">
        <v>20</v>
      </c>
      <c r="C17" s="27"/>
      <c r="D17" s="28">
        <f t="shared" ref="D17:E17" si="11">SUM(D18:D21)</f>
        <v>62437</v>
      </c>
      <c r="E17" s="28">
        <f t="shared" si="11"/>
        <v>0</v>
      </c>
      <c r="F17" s="28">
        <f>SUM(F18:F21)</f>
        <v>0</v>
      </c>
      <c r="G17" s="28">
        <f>SUM(G18:G21)</f>
        <v>81669</v>
      </c>
      <c r="H17" s="19">
        <f t="shared" si="3"/>
        <v>19232</v>
      </c>
      <c r="I17" s="19">
        <f t="shared" si="4"/>
        <v>81669</v>
      </c>
      <c r="J17" s="28">
        <f t="shared" ref="J17:O17" si="12">SUM(J18:J21)</f>
        <v>63348</v>
      </c>
      <c r="K17" s="28">
        <f t="shared" si="12"/>
        <v>0</v>
      </c>
      <c r="L17" s="19">
        <f t="shared" si="6"/>
        <v>0</v>
      </c>
      <c r="M17" s="19">
        <f t="shared" si="7"/>
        <v>63348</v>
      </c>
      <c r="N17" s="19">
        <f t="shared" si="12"/>
        <v>63618</v>
      </c>
      <c r="O17" s="19">
        <f t="shared" si="12"/>
        <v>0</v>
      </c>
      <c r="P17" s="66">
        <f t="shared" si="8"/>
        <v>0</v>
      </c>
      <c r="Q17" s="66">
        <f t="shared" si="9"/>
        <v>63618</v>
      </c>
    </row>
    <row r="18" spans="1:17" ht="30" x14ac:dyDescent="0.25">
      <c r="A18" s="24" t="s">
        <v>21</v>
      </c>
      <c r="B18" s="25" t="s">
        <v>22</v>
      </c>
      <c r="C18" s="25"/>
      <c r="D18" s="22">
        <f>54720+1570</f>
        <v>56290</v>
      </c>
      <c r="E18" s="22">
        <v>0</v>
      </c>
      <c r="F18" s="22">
        <v>0</v>
      </c>
      <c r="G18" s="22">
        <v>74622</v>
      </c>
      <c r="H18" s="19">
        <f t="shared" si="3"/>
        <v>18332</v>
      </c>
      <c r="I18" s="19">
        <f t="shared" si="4"/>
        <v>74622</v>
      </c>
      <c r="J18" s="22">
        <f>55800+1633</f>
        <v>57433</v>
      </c>
      <c r="K18" s="22">
        <v>0</v>
      </c>
      <c r="L18" s="19">
        <f t="shared" si="6"/>
        <v>0</v>
      </c>
      <c r="M18" s="19">
        <f t="shared" si="7"/>
        <v>57433</v>
      </c>
      <c r="N18" s="22">
        <f>55900+1698</f>
        <v>57598</v>
      </c>
      <c r="O18" s="66">
        <v>0</v>
      </c>
      <c r="P18" s="66">
        <f t="shared" si="8"/>
        <v>0</v>
      </c>
      <c r="Q18" s="66">
        <f t="shared" si="9"/>
        <v>57598</v>
      </c>
    </row>
    <row r="19" spans="1:17" ht="30" x14ac:dyDescent="0.25">
      <c r="A19" s="14" t="s">
        <v>23</v>
      </c>
      <c r="B19" s="18" t="s">
        <v>24</v>
      </c>
      <c r="C19" s="18"/>
      <c r="D19" s="22">
        <v>322</v>
      </c>
      <c r="E19" s="22">
        <v>0</v>
      </c>
      <c r="F19" s="22">
        <v>0</v>
      </c>
      <c r="G19" s="22">
        <v>322</v>
      </c>
      <c r="H19" s="19">
        <f t="shared" si="3"/>
        <v>0</v>
      </c>
      <c r="I19" s="19">
        <f t="shared" si="4"/>
        <v>322</v>
      </c>
      <c r="J19" s="22">
        <v>0</v>
      </c>
      <c r="K19" s="22">
        <v>0</v>
      </c>
      <c r="L19" s="19">
        <f t="shared" si="6"/>
        <v>0</v>
      </c>
      <c r="M19" s="19">
        <f t="shared" si="7"/>
        <v>0</v>
      </c>
      <c r="N19" s="22">
        <v>0</v>
      </c>
      <c r="O19" s="66">
        <v>0</v>
      </c>
      <c r="P19" s="66">
        <f t="shared" si="8"/>
        <v>0</v>
      </c>
      <c r="Q19" s="66">
        <f t="shared" si="9"/>
        <v>0</v>
      </c>
    </row>
    <row r="20" spans="1:17" x14ac:dyDescent="0.25">
      <c r="A20" s="14" t="s">
        <v>25</v>
      </c>
      <c r="B20" s="18" t="s">
        <v>26</v>
      </c>
      <c r="C20" s="18"/>
      <c r="D20" s="22">
        <v>750</v>
      </c>
      <c r="E20" s="22">
        <v>0</v>
      </c>
      <c r="F20" s="22">
        <v>0</v>
      </c>
      <c r="G20" s="22">
        <v>750</v>
      </c>
      <c r="H20" s="19">
        <f t="shared" si="3"/>
        <v>0</v>
      </c>
      <c r="I20" s="19">
        <f t="shared" si="4"/>
        <v>750</v>
      </c>
      <c r="J20" s="22">
        <v>765</v>
      </c>
      <c r="K20" s="22">
        <v>0</v>
      </c>
      <c r="L20" s="19">
        <f t="shared" si="6"/>
        <v>0</v>
      </c>
      <c r="M20" s="19">
        <f t="shared" si="7"/>
        <v>765</v>
      </c>
      <c r="N20" s="22">
        <v>790</v>
      </c>
      <c r="O20" s="66">
        <v>0</v>
      </c>
      <c r="P20" s="66">
        <f t="shared" si="8"/>
        <v>0</v>
      </c>
      <c r="Q20" s="66">
        <f t="shared" si="9"/>
        <v>790</v>
      </c>
    </row>
    <row r="21" spans="1:17" ht="30" x14ac:dyDescent="0.25">
      <c r="A21" s="14" t="s">
        <v>27</v>
      </c>
      <c r="B21" s="18" t="s">
        <v>28</v>
      </c>
      <c r="C21" s="18"/>
      <c r="D21" s="22">
        <v>5075</v>
      </c>
      <c r="E21" s="22">
        <v>0</v>
      </c>
      <c r="F21" s="22">
        <v>0</v>
      </c>
      <c r="G21" s="22">
        <v>5975</v>
      </c>
      <c r="H21" s="19">
        <f t="shared" si="3"/>
        <v>900</v>
      </c>
      <c r="I21" s="19">
        <f t="shared" si="4"/>
        <v>5975</v>
      </c>
      <c r="J21" s="22">
        <v>5150</v>
      </c>
      <c r="K21" s="22">
        <v>0</v>
      </c>
      <c r="L21" s="19">
        <f t="shared" si="6"/>
        <v>0</v>
      </c>
      <c r="M21" s="19">
        <f t="shared" si="7"/>
        <v>5150</v>
      </c>
      <c r="N21" s="22">
        <v>5230</v>
      </c>
      <c r="O21" s="66">
        <v>0</v>
      </c>
      <c r="P21" s="66">
        <f t="shared" si="8"/>
        <v>0</v>
      </c>
      <c r="Q21" s="66">
        <f t="shared" si="9"/>
        <v>5230</v>
      </c>
    </row>
    <row r="22" spans="1:17" x14ac:dyDescent="0.25">
      <c r="A22" s="26" t="s">
        <v>29</v>
      </c>
      <c r="B22" s="29" t="s">
        <v>30</v>
      </c>
      <c r="C22" s="29"/>
      <c r="D22" s="28">
        <f t="shared" ref="D22:G22" si="13">SUM(D23:D28)</f>
        <v>149259</v>
      </c>
      <c r="E22" s="28">
        <f t="shared" si="13"/>
        <v>0</v>
      </c>
      <c r="F22" s="28">
        <f t="shared" si="13"/>
        <v>0</v>
      </c>
      <c r="G22" s="28">
        <f t="shared" si="13"/>
        <v>114687</v>
      </c>
      <c r="H22" s="19">
        <f t="shared" si="3"/>
        <v>-34572</v>
      </c>
      <c r="I22" s="19">
        <f t="shared" si="4"/>
        <v>114687</v>
      </c>
      <c r="J22" s="28">
        <f t="shared" ref="J22:O22" si="14">SUM(J23:J28)</f>
        <v>149969</v>
      </c>
      <c r="K22" s="28">
        <f t="shared" si="14"/>
        <v>0</v>
      </c>
      <c r="L22" s="19">
        <f t="shared" si="6"/>
        <v>0</v>
      </c>
      <c r="M22" s="19">
        <f t="shared" si="7"/>
        <v>149969</v>
      </c>
      <c r="N22" s="19">
        <f t="shared" si="14"/>
        <v>150441</v>
      </c>
      <c r="O22" s="19">
        <f t="shared" si="14"/>
        <v>0</v>
      </c>
      <c r="P22" s="66">
        <f t="shared" si="8"/>
        <v>0</v>
      </c>
      <c r="Q22" s="66">
        <f t="shared" si="9"/>
        <v>150441</v>
      </c>
    </row>
    <row r="23" spans="1:17" x14ac:dyDescent="0.25">
      <c r="A23" s="30" t="s">
        <v>31</v>
      </c>
      <c r="B23" s="31" t="s">
        <v>32</v>
      </c>
      <c r="C23" s="31"/>
      <c r="D23" s="22">
        <v>2350</v>
      </c>
      <c r="E23" s="22">
        <v>0</v>
      </c>
      <c r="F23" s="22">
        <v>0</v>
      </c>
      <c r="G23" s="22">
        <v>2350</v>
      </c>
      <c r="H23" s="19">
        <f t="shared" si="3"/>
        <v>0</v>
      </c>
      <c r="I23" s="19">
        <f t="shared" si="4"/>
        <v>2350</v>
      </c>
      <c r="J23" s="22">
        <v>2460</v>
      </c>
      <c r="K23" s="22">
        <v>0</v>
      </c>
      <c r="L23" s="19">
        <f t="shared" si="6"/>
        <v>0</v>
      </c>
      <c r="M23" s="19">
        <f t="shared" si="7"/>
        <v>2460</v>
      </c>
      <c r="N23" s="22">
        <v>2490</v>
      </c>
      <c r="O23" s="66">
        <v>0</v>
      </c>
      <c r="P23" s="66">
        <f t="shared" si="8"/>
        <v>0</v>
      </c>
      <c r="Q23" s="66">
        <f t="shared" si="9"/>
        <v>2490</v>
      </c>
    </row>
    <row r="24" spans="1:17" x14ac:dyDescent="0.25">
      <c r="A24" s="30" t="s">
        <v>33</v>
      </c>
      <c r="B24" s="31" t="s">
        <v>34</v>
      </c>
      <c r="C24" s="31"/>
      <c r="D24" s="22">
        <v>116000</v>
      </c>
      <c r="E24" s="22">
        <v>0</v>
      </c>
      <c r="F24" s="22">
        <v>0</v>
      </c>
      <c r="G24" s="22">
        <v>81428</v>
      </c>
      <c r="H24" s="19">
        <f t="shared" si="3"/>
        <v>-34572</v>
      </c>
      <c r="I24" s="19">
        <f t="shared" si="4"/>
        <v>81428</v>
      </c>
      <c r="J24" s="22">
        <v>116000</v>
      </c>
      <c r="K24" s="22">
        <v>0</v>
      </c>
      <c r="L24" s="19">
        <f t="shared" si="6"/>
        <v>0</v>
      </c>
      <c r="M24" s="19">
        <f t="shared" si="7"/>
        <v>116000</v>
      </c>
      <c r="N24" s="22">
        <v>116000</v>
      </c>
      <c r="O24" s="66">
        <v>0</v>
      </c>
      <c r="P24" s="66">
        <f t="shared" si="8"/>
        <v>0</v>
      </c>
      <c r="Q24" s="66">
        <f t="shared" si="9"/>
        <v>116000</v>
      </c>
    </row>
    <row r="25" spans="1:17" x14ac:dyDescent="0.25">
      <c r="A25" s="24" t="s">
        <v>35</v>
      </c>
      <c r="B25" s="31" t="s">
        <v>36</v>
      </c>
      <c r="C25" s="31"/>
      <c r="D25" s="22">
        <v>5900</v>
      </c>
      <c r="E25" s="22">
        <v>0</v>
      </c>
      <c r="F25" s="22">
        <v>0</v>
      </c>
      <c r="G25" s="22">
        <v>5900</v>
      </c>
      <c r="H25" s="19">
        <f t="shared" si="3"/>
        <v>0</v>
      </c>
      <c r="I25" s="19">
        <f t="shared" si="4"/>
        <v>5900</v>
      </c>
      <c r="J25" s="22">
        <v>5950</v>
      </c>
      <c r="K25" s="22">
        <v>0</v>
      </c>
      <c r="L25" s="19">
        <f t="shared" si="6"/>
        <v>0</v>
      </c>
      <c r="M25" s="19">
        <f t="shared" si="7"/>
        <v>5950</v>
      </c>
      <c r="N25" s="22">
        <v>5950</v>
      </c>
      <c r="O25" s="66">
        <v>0</v>
      </c>
      <c r="P25" s="66">
        <f t="shared" si="8"/>
        <v>0</v>
      </c>
      <c r="Q25" s="66">
        <f t="shared" si="9"/>
        <v>5950</v>
      </c>
    </row>
    <row r="26" spans="1:17" x14ac:dyDescent="0.25">
      <c r="A26" s="24" t="s">
        <v>37</v>
      </c>
      <c r="B26" s="31" t="s">
        <v>38</v>
      </c>
      <c r="C26" s="31"/>
      <c r="D26" s="22">
        <v>17270</v>
      </c>
      <c r="E26" s="22">
        <v>0</v>
      </c>
      <c r="F26" s="22">
        <v>0</v>
      </c>
      <c r="G26" s="22">
        <v>17270</v>
      </c>
      <c r="H26" s="19">
        <f t="shared" si="3"/>
        <v>0</v>
      </c>
      <c r="I26" s="19">
        <f t="shared" si="4"/>
        <v>17270</v>
      </c>
      <c r="J26" s="22">
        <v>17510</v>
      </c>
      <c r="K26" s="22">
        <v>0</v>
      </c>
      <c r="L26" s="19">
        <f t="shared" si="6"/>
        <v>0</v>
      </c>
      <c r="M26" s="19">
        <f t="shared" si="7"/>
        <v>17510</v>
      </c>
      <c r="N26" s="22">
        <v>17630</v>
      </c>
      <c r="O26" s="66">
        <v>0</v>
      </c>
      <c r="P26" s="66">
        <f t="shared" si="8"/>
        <v>0</v>
      </c>
      <c r="Q26" s="66">
        <f t="shared" si="9"/>
        <v>17630</v>
      </c>
    </row>
    <row r="27" spans="1:17" x14ac:dyDescent="0.25">
      <c r="A27" s="30" t="s">
        <v>39</v>
      </c>
      <c r="B27" s="31" t="s">
        <v>40</v>
      </c>
      <c r="C27" s="31"/>
      <c r="D27" s="22">
        <v>7047</v>
      </c>
      <c r="E27" s="22">
        <v>0</v>
      </c>
      <c r="F27" s="22">
        <v>0</v>
      </c>
      <c r="G27" s="22">
        <v>7047</v>
      </c>
      <c r="H27" s="19">
        <f t="shared" si="3"/>
        <v>0</v>
      </c>
      <c r="I27" s="19">
        <f t="shared" si="4"/>
        <v>7047</v>
      </c>
      <c r="J27" s="22">
        <v>7329</v>
      </c>
      <c r="K27" s="22">
        <v>0</v>
      </c>
      <c r="L27" s="19">
        <f t="shared" si="6"/>
        <v>0</v>
      </c>
      <c r="M27" s="19">
        <f t="shared" si="7"/>
        <v>7329</v>
      </c>
      <c r="N27" s="22">
        <v>7622</v>
      </c>
      <c r="O27" s="66">
        <v>0</v>
      </c>
      <c r="P27" s="66">
        <f t="shared" si="8"/>
        <v>0</v>
      </c>
      <c r="Q27" s="66">
        <f t="shared" si="9"/>
        <v>7622</v>
      </c>
    </row>
    <row r="28" spans="1:17" x14ac:dyDescent="0.25">
      <c r="A28" s="30" t="s">
        <v>41</v>
      </c>
      <c r="B28" s="31" t="s">
        <v>42</v>
      </c>
      <c r="C28" s="31"/>
      <c r="D28" s="22">
        <v>692</v>
      </c>
      <c r="E28" s="22">
        <v>0</v>
      </c>
      <c r="F28" s="22">
        <v>0</v>
      </c>
      <c r="G28" s="22">
        <v>692</v>
      </c>
      <c r="H28" s="19">
        <f t="shared" si="3"/>
        <v>0</v>
      </c>
      <c r="I28" s="19">
        <f t="shared" si="4"/>
        <v>692</v>
      </c>
      <c r="J28" s="22">
        <v>720</v>
      </c>
      <c r="K28" s="22">
        <v>0</v>
      </c>
      <c r="L28" s="19">
        <f t="shared" si="6"/>
        <v>0</v>
      </c>
      <c r="M28" s="19">
        <f t="shared" si="7"/>
        <v>720</v>
      </c>
      <c r="N28" s="22">
        <v>749</v>
      </c>
      <c r="O28" s="66">
        <v>0</v>
      </c>
      <c r="P28" s="66">
        <f t="shared" si="8"/>
        <v>0</v>
      </c>
      <c r="Q28" s="66">
        <f t="shared" si="9"/>
        <v>749</v>
      </c>
    </row>
    <row r="29" spans="1:17" x14ac:dyDescent="0.25">
      <c r="A29" s="32" t="s">
        <v>43</v>
      </c>
      <c r="B29" s="33" t="s">
        <v>44</v>
      </c>
      <c r="C29" s="33"/>
      <c r="D29" s="22">
        <f>510.4+2015</f>
        <v>2525.4</v>
      </c>
      <c r="E29" s="22">
        <v>0</v>
      </c>
      <c r="F29" s="22">
        <v>0</v>
      </c>
      <c r="G29" s="22">
        <f>2015+168</f>
        <v>2183</v>
      </c>
      <c r="H29" s="19">
        <f t="shared" si="3"/>
        <v>-342.40000000000009</v>
      </c>
      <c r="I29" s="19">
        <f t="shared" si="4"/>
        <v>2183</v>
      </c>
      <c r="J29" s="22">
        <f>510.4+2150</f>
        <v>2660.4</v>
      </c>
      <c r="K29" s="22">
        <v>0</v>
      </c>
      <c r="L29" s="19">
        <f t="shared" si="6"/>
        <v>0</v>
      </c>
      <c r="M29" s="19">
        <f t="shared" si="7"/>
        <v>2660.4</v>
      </c>
      <c r="N29" s="22">
        <f>510.4+2290</f>
        <v>2800.4</v>
      </c>
      <c r="O29" s="66">
        <v>0</v>
      </c>
      <c r="P29" s="66">
        <f t="shared" si="8"/>
        <v>0</v>
      </c>
      <c r="Q29" s="66">
        <f t="shared" si="9"/>
        <v>2800.4</v>
      </c>
    </row>
    <row r="30" spans="1:17" ht="45" hidden="1" x14ac:dyDescent="0.25">
      <c r="A30" s="32" t="s">
        <v>45</v>
      </c>
      <c r="B30" s="33" t="s">
        <v>46</v>
      </c>
      <c r="C30" s="33"/>
      <c r="D30" s="22">
        <v>0</v>
      </c>
      <c r="E30" s="22"/>
      <c r="F30" s="22"/>
      <c r="G30" s="22"/>
      <c r="H30" s="19">
        <f t="shared" si="3"/>
        <v>0</v>
      </c>
      <c r="I30" s="19">
        <f t="shared" si="4"/>
        <v>0</v>
      </c>
      <c r="J30" s="22">
        <v>0</v>
      </c>
      <c r="K30" s="22"/>
      <c r="L30" s="19">
        <f t="shared" si="6"/>
        <v>0</v>
      </c>
      <c r="M30" s="19">
        <f t="shared" si="7"/>
        <v>0</v>
      </c>
      <c r="N30" s="22">
        <v>0</v>
      </c>
      <c r="O30" s="66"/>
      <c r="P30" s="66">
        <f t="shared" si="8"/>
        <v>0</v>
      </c>
      <c r="Q30" s="66">
        <f t="shared" si="9"/>
        <v>0</v>
      </c>
    </row>
    <row r="31" spans="1:17" ht="60" x14ac:dyDescent="0.25">
      <c r="A31" s="32" t="s">
        <v>47</v>
      </c>
      <c r="B31" s="33" t="s">
        <v>48</v>
      </c>
      <c r="C31" s="33"/>
      <c r="D31" s="34">
        <f>SUM(D32:D37)</f>
        <v>88156.599999999991</v>
      </c>
      <c r="E31" s="34">
        <f t="shared" ref="E31:F31" si="15">SUM(E32:E37)</f>
        <v>0</v>
      </c>
      <c r="F31" s="34">
        <f t="shared" si="15"/>
        <v>0</v>
      </c>
      <c r="G31" s="34">
        <f>SUM(G32:G37)</f>
        <v>74921</v>
      </c>
      <c r="H31" s="19">
        <f>G31-D31</f>
        <v>-13235.599999999991</v>
      </c>
      <c r="I31" s="19">
        <f t="shared" si="4"/>
        <v>74921</v>
      </c>
      <c r="J31" s="34">
        <f t="shared" ref="J31:O31" si="16">SUM(J32:J37)</f>
        <v>91270.399999999994</v>
      </c>
      <c r="K31" s="34">
        <f t="shared" si="16"/>
        <v>0</v>
      </c>
      <c r="L31" s="19">
        <f t="shared" si="6"/>
        <v>0</v>
      </c>
      <c r="M31" s="19">
        <f t="shared" si="7"/>
        <v>91270.399999999994</v>
      </c>
      <c r="N31" s="19">
        <f t="shared" si="16"/>
        <v>94644.5</v>
      </c>
      <c r="O31" s="19">
        <f t="shared" si="16"/>
        <v>0</v>
      </c>
      <c r="P31" s="66">
        <f t="shared" si="8"/>
        <v>0</v>
      </c>
      <c r="Q31" s="66">
        <f t="shared" si="9"/>
        <v>94644.5</v>
      </c>
    </row>
    <row r="32" spans="1:17" ht="60" hidden="1" x14ac:dyDescent="0.25">
      <c r="A32" s="35" t="s">
        <v>49</v>
      </c>
      <c r="B32" s="33" t="s">
        <v>50</v>
      </c>
      <c r="C32" s="33"/>
      <c r="D32" s="22">
        <v>0</v>
      </c>
      <c r="E32" s="22">
        <v>0</v>
      </c>
      <c r="F32" s="22">
        <v>0</v>
      </c>
      <c r="G32" s="22"/>
      <c r="H32" s="19">
        <f t="shared" si="3"/>
        <v>0</v>
      </c>
      <c r="I32" s="19">
        <f t="shared" si="4"/>
        <v>0</v>
      </c>
      <c r="J32" s="22">
        <v>0</v>
      </c>
      <c r="K32" s="22">
        <v>0</v>
      </c>
      <c r="L32" s="19">
        <f t="shared" si="6"/>
        <v>0</v>
      </c>
      <c r="M32" s="19">
        <f t="shared" si="7"/>
        <v>0</v>
      </c>
      <c r="N32" s="22">
        <v>0</v>
      </c>
      <c r="O32" s="66">
        <v>0</v>
      </c>
      <c r="P32" s="66">
        <f t="shared" si="8"/>
        <v>0</v>
      </c>
      <c r="Q32" s="66">
        <f t="shared" si="9"/>
        <v>0</v>
      </c>
    </row>
    <row r="33" spans="1:17" ht="110.25" customHeight="1" x14ac:dyDescent="0.25">
      <c r="A33" s="36" t="s">
        <v>51</v>
      </c>
      <c r="B33" s="18" t="s">
        <v>52</v>
      </c>
      <c r="C33" s="18"/>
      <c r="D33" s="22">
        <v>81885.399999999994</v>
      </c>
      <c r="E33" s="22">
        <v>0</v>
      </c>
      <c r="F33" s="22">
        <v>0</v>
      </c>
      <c r="G33" s="22">
        <v>68629.2</v>
      </c>
      <c r="H33" s="19">
        <f t="shared" si="3"/>
        <v>-13256.199999999997</v>
      </c>
      <c r="I33" s="19">
        <f t="shared" si="4"/>
        <v>68629.2</v>
      </c>
      <c r="J33" s="22">
        <v>85160.9</v>
      </c>
      <c r="K33" s="22">
        <v>0</v>
      </c>
      <c r="L33" s="19">
        <f t="shared" si="6"/>
        <v>0</v>
      </c>
      <c r="M33" s="19">
        <f t="shared" si="7"/>
        <v>85160.9</v>
      </c>
      <c r="N33" s="22">
        <v>88567.3</v>
      </c>
      <c r="O33" s="66">
        <v>0</v>
      </c>
      <c r="P33" s="66">
        <f t="shared" si="8"/>
        <v>0</v>
      </c>
      <c r="Q33" s="66">
        <f t="shared" si="9"/>
        <v>88567.3</v>
      </c>
    </row>
    <row r="34" spans="1:17" ht="90" hidden="1" x14ac:dyDescent="0.25">
      <c r="A34" s="36" t="s">
        <v>53</v>
      </c>
      <c r="B34" s="18" t="s">
        <v>54</v>
      </c>
      <c r="C34" s="18"/>
      <c r="D34" s="22"/>
      <c r="E34" s="22"/>
      <c r="F34" s="22"/>
      <c r="G34" s="22"/>
      <c r="H34" s="19">
        <f t="shared" si="3"/>
        <v>0</v>
      </c>
      <c r="I34" s="19">
        <f t="shared" si="4"/>
        <v>0</v>
      </c>
      <c r="J34" s="22"/>
      <c r="K34" s="22"/>
      <c r="L34" s="19">
        <f t="shared" si="6"/>
        <v>0</v>
      </c>
      <c r="M34" s="19">
        <f t="shared" si="7"/>
        <v>0</v>
      </c>
      <c r="N34" s="22"/>
      <c r="O34" s="66"/>
      <c r="P34" s="66">
        <f t="shared" si="8"/>
        <v>0</v>
      </c>
      <c r="Q34" s="66">
        <f t="shared" si="9"/>
        <v>0</v>
      </c>
    </row>
    <row r="35" spans="1:17" ht="48.75" customHeight="1" x14ac:dyDescent="0.25">
      <c r="A35" s="36" t="s">
        <v>55</v>
      </c>
      <c r="B35" s="18" t="s">
        <v>56</v>
      </c>
      <c r="C35" s="18"/>
      <c r="D35" s="22">
        <v>3154.3</v>
      </c>
      <c r="E35" s="22">
        <v>0</v>
      </c>
      <c r="F35" s="22">
        <v>0</v>
      </c>
      <c r="G35" s="22">
        <v>3154.3</v>
      </c>
      <c r="H35" s="19">
        <f t="shared" si="3"/>
        <v>0</v>
      </c>
      <c r="I35" s="19">
        <f t="shared" si="4"/>
        <v>3154.3</v>
      </c>
      <c r="J35" s="22">
        <v>2992.6</v>
      </c>
      <c r="K35" s="22">
        <v>0</v>
      </c>
      <c r="L35" s="19">
        <f t="shared" si="6"/>
        <v>0</v>
      </c>
      <c r="M35" s="19">
        <f t="shared" si="7"/>
        <v>2992.6</v>
      </c>
      <c r="N35" s="22">
        <v>2960.3</v>
      </c>
      <c r="O35" s="66">
        <v>0</v>
      </c>
      <c r="P35" s="66">
        <f t="shared" si="8"/>
        <v>0</v>
      </c>
      <c r="Q35" s="66">
        <f t="shared" si="9"/>
        <v>2960.3</v>
      </c>
    </row>
    <row r="36" spans="1:17" ht="180" x14ac:dyDescent="0.25">
      <c r="A36" s="36" t="s">
        <v>203</v>
      </c>
      <c r="B36" s="18" t="s">
        <v>204</v>
      </c>
      <c r="C36" s="18"/>
      <c r="D36" s="22">
        <v>0</v>
      </c>
      <c r="E36" s="22">
        <v>0</v>
      </c>
      <c r="F36" s="22">
        <v>0</v>
      </c>
      <c r="G36" s="22">
        <v>20.6</v>
      </c>
      <c r="H36" s="19">
        <f t="shared" si="3"/>
        <v>20.6</v>
      </c>
      <c r="I36" s="19">
        <f t="shared" si="4"/>
        <v>20.6</v>
      </c>
      <c r="J36" s="22">
        <v>0</v>
      </c>
      <c r="K36" s="22">
        <v>0</v>
      </c>
      <c r="L36" s="19">
        <f t="shared" si="6"/>
        <v>0</v>
      </c>
      <c r="M36" s="19">
        <f t="shared" si="7"/>
        <v>0</v>
      </c>
      <c r="N36" s="22">
        <v>0</v>
      </c>
      <c r="O36" s="66">
        <v>0</v>
      </c>
      <c r="P36" s="66">
        <f t="shared" si="8"/>
        <v>0</v>
      </c>
      <c r="Q36" s="66">
        <f t="shared" si="9"/>
        <v>0</v>
      </c>
    </row>
    <row r="37" spans="1:17" ht="92.25" customHeight="1" x14ac:dyDescent="0.25">
      <c r="A37" s="36" t="s">
        <v>57</v>
      </c>
      <c r="B37" s="18" t="s">
        <v>58</v>
      </c>
      <c r="C37" s="18"/>
      <c r="D37" s="22">
        <v>3116.9</v>
      </c>
      <c r="E37" s="22">
        <v>0</v>
      </c>
      <c r="F37" s="22">
        <v>0</v>
      </c>
      <c r="G37" s="22">
        <v>3116.9</v>
      </c>
      <c r="H37" s="19">
        <f t="shared" si="3"/>
        <v>0</v>
      </c>
      <c r="I37" s="19">
        <f t="shared" si="4"/>
        <v>3116.9</v>
      </c>
      <c r="J37" s="22">
        <v>3116.9</v>
      </c>
      <c r="K37" s="22">
        <v>0</v>
      </c>
      <c r="L37" s="19">
        <f t="shared" si="6"/>
        <v>0</v>
      </c>
      <c r="M37" s="19">
        <f t="shared" si="7"/>
        <v>3116.9</v>
      </c>
      <c r="N37" s="22">
        <v>3116.9</v>
      </c>
      <c r="O37" s="66">
        <v>0</v>
      </c>
      <c r="P37" s="66">
        <f t="shared" si="8"/>
        <v>0</v>
      </c>
      <c r="Q37" s="66">
        <f t="shared" si="9"/>
        <v>3116.9</v>
      </c>
    </row>
    <row r="38" spans="1:17" ht="32.25" customHeight="1" x14ac:dyDescent="0.25">
      <c r="A38" s="36" t="s">
        <v>59</v>
      </c>
      <c r="B38" s="29" t="s">
        <v>60</v>
      </c>
      <c r="C38" s="29"/>
      <c r="D38" s="34">
        <f t="shared" ref="D38:O38" si="17">SUM(D39)</f>
        <v>15675.7</v>
      </c>
      <c r="E38" s="34">
        <f t="shared" si="17"/>
        <v>0</v>
      </c>
      <c r="F38" s="34">
        <f t="shared" si="17"/>
        <v>0</v>
      </c>
      <c r="G38" s="34">
        <f>G39</f>
        <v>15675.7</v>
      </c>
      <c r="H38" s="19">
        <f t="shared" si="3"/>
        <v>0</v>
      </c>
      <c r="I38" s="19">
        <f t="shared" si="4"/>
        <v>15675.7</v>
      </c>
      <c r="J38" s="34">
        <f t="shared" si="17"/>
        <v>15675.7</v>
      </c>
      <c r="K38" s="34">
        <f t="shared" si="17"/>
        <v>0</v>
      </c>
      <c r="L38" s="19">
        <f t="shared" si="6"/>
        <v>0</v>
      </c>
      <c r="M38" s="19">
        <f t="shared" si="7"/>
        <v>15675.7</v>
      </c>
      <c r="N38" s="19">
        <f t="shared" si="17"/>
        <v>15675.7</v>
      </c>
      <c r="O38" s="19">
        <f t="shared" si="17"/>
        <v>0</v>
      </c>
      <c r="P38" s="66">
        <f t="shared" si="8"/>
        <v>0</v>
      </c>
      <c r="Q38" s="66">
        <f t="shared" si="9"/>
        <v>15675.7</v>
      </c>
    </row>
    <row r="39" spans="1:17" ht="30" x14ac:dyDescent="0.25">
      <c r="A39" s="36" t="s">
        <v>61</v>
      </c>
      <c r="B39" s="29" t="s">
        <v>62</v>
      </c>
      <c r="C39" s="29"/>
      <c r="D39" s="22">
        <v>15675.7</v>
      </c>
      <c r="E39" s="22">
        <v>0</v>
      </c>
      <c r="F39" s="22">
        <v>0</v>
      </c>
      <c r="G39" s="22">
        <v>15675.7</v>
      </c>
      <c r="H39" s="19">
        <f t="shared" si="3"/>
        <v>0</v>
      </c>
      <c r="I39" s="19">
        <f t="shared" si="4"/>
        <v>15675.7</v>
      </c>
      <c r="J39" s="22">
        <v>15675.7</v>
      </c>
      <c r="K39" s="22">
        <v>0</v>
      </c>
      <c r="L39" s="19">
        <f t="shared" si="6"/>
        <v>0</v>
      </c>
      <c r="M39" s="19">
        <f t="shared" si="7"/>
        <v>15675.7</v>
      </c>
      <c r="N39" s="22">
        <v>15675.7</v>
      </c>
      <c r="O39" s="66">
        <v>0</v>
      </c>
      <c r="P39" s="66">
        <f t="shared" si="8"/>
        <v>0</v>
      </c>
      <c r="Q39" s="66">
        <f t="shared" si="9"/>
        <v>15675.7</v>
      </c>
    </row>
    <row r="40" spans="1:17" ht="30" x14ac:dyDescent="0.25">
      <c r="A40" s="37" t="s">
        <v>63</v>
      </c>
      <c r="B40" s="38" t="s">
        <v>64</v>
      </c>
      <c r="C40" s="38"/>
      <c r="D40" s="34">
        <f t="shared" ref="D40:G40" si="18">SUM(D41:D42)</f>
        <v>236</v>
      </c>
      <c r="E40" s="34">
        <f t="shared" si="18"/>
        <v>0</v>
      </c>
      <c r="F40" s="34">
        <f t="shared" si="18"/>
        <v>0</v>
      </c>
      <c r="G40" s="34">
        <f t="shared" si="18"/>
        <v>291.8</v>
      </c>
      <c r="H40" s="19">
        <f t="shared" si="3"/>
        <v>55.800000000000011</v>
      </c>
      <c r="I40" s="19">
        <f t="shared" si="4"/>
        <v>291.8</v>
      </c>
      <c r="J40" s="34">
        <f t="shared" ref="J40:O40" si="19">SUM(J41:J42)</f>
        <v>245.5</v>
      </c>
      <c r="K40" s="34">
        <f t="shared" si="19"/>
        <v>0</v>
      </c>
      <c r="L40" s="19">
        <f t="shared" si="6"/>
        <v>0</v>
      </c>
      <c r="M40" s="19">
        <f t="shared" si="7"/>
        <v>245.5</v>
      </c>
      <c r="N40" s="19">
        <f t="shared" si="19"/>
        <v>255.3</v>
      </c>
      <c r="O40" s="19">
        <f t="shared" si="19"/>
        <v>0</v>
      </c>
      <c r="P40" s="66">
        <f t="shared" si="8"/>
        <v>0</v>
      </c>
      <c r="Q40" s="66">
        <f t="shared" si="9"/>
        <v>255.3</v>
      </c>
    </row>
    <row r="41" spans="1:17" ht="46.5" customHeight="1" x14ac:dyDescent="0.25">
      <c r="A41" s="37" t="s">
        <v>65</v>
      </c>
      <c r="B41" s="38" t="s">
        <v>66</v>
      </c>
      <c r="C41" s="38"/>
      <c r="D41" s="22">
        <v>2.8</v>
      </c>
      <c r="E41" s="22">
        <v>0</v>
      </c>
      <c r="F41" s="22">
        <v>0</v>
      </c>
      <c r="G41" s="22">
        <v>2.8</v>
      </c>
      <c r="H41" s="19">
        <f t="shared" si="3"/>
        <v>0</v>
      </c>
      <c r="I41" s="19">
        <f t="shared" si="4"/>
        <v>2.8</v>
      </c>
      <c r="J41" s="22">
        <v>2.9</v>
      </c>
      <c r="K41" s="22">
        <v>0</v>
      </c>
      <c r="L41" s="19">
        <f t="shared" si="6"/>
        <v>0</v>
      </c>
      <c r="M41" s="19">
        <f t="shared" si="7"/>
        <v>2.9</v>
      </c>
      <c r="N41" s="22">
        <v>3</v>
      </c>
      <c r="O41" s="66">
        <v>0</v>
      </c>
      <c r="P41" s="66">
        <f t="shared" si="8"/>
        <v>0</v>
      </c>
      <c r="Q41" s="66">
        <f t="shared" si="9"/>
        <v>3</v>
      </c>
    </row>
    <row r="42" spans="1:17" ht="30" x14ac:dyDescent="0.25">
      <c r="A42" s="37" t="s">
        <v>67</v>
      </c>
      <c r="B42" s="38" t="s">
        <v>68</v>
      </c>
      <c r="C42" s="38"/>
      <c r="D42" s="22">
        <v>233.2</v>
      </c>
      <c r="E42" s="22">
        <v>0</v>
      </c>
      <c r="F42" s="22">
        <v>0</v>
      </c>
      <c r="G42" s="22">
        <f>108.5+110.8+69.7</f>
        <v>289</v>
      </c>
      <c r="H42" s="19">
        <f t="shared" si="3"/>
        <v>55.800000000000011</v>
      </c>
      <c r="I42" s="19">
        <f t="shared" si="4"/>
        <v>289</v>
      </c>
      <c r="J42" s="22">
        <v>242.6</v>
      </c>
      <c r="K42" s="22">
        <v>0</v>
      </c>
      <c r="L42" s="19">
        <f t="shared" si="6"/>
        <v>0</v>
      </c>
      <c r="M42" s="19">
        <f t="shared" si="7"/>
        <v>242.6</v>
      </c>
      <c r="N42" s="22">
        <v>252.3</v>
      </c>
      <c r="O42" s="66">
        <v>0</v>
      </c>
      <c r="P42" s="66">
        <f t="shared" si="8"/>
        <v>0</v>
      </c>
      <c r="Q42" s="66">
        <f t="shared" si="9"/>
        <v>252.3</v>
      </c>
    </row>
    <row r="43" spans="1:17" ht="30" x14ac:dyDescent="0.25">
      <c r="A43" s="32" t="s">
        <v>69</v>
      </c>
      <c r="B43" s="33" t="s">
        <v>70</v>
      </c>
      <c r="C43" s="33"/>
      <c r="D43" s="34">
        <f t="shared" ref="D43:G43" si="20">SUM(D44+D45+D46+D47)</f>
        <v>3651.1</v>
      </c>
      <c r="E43" s="34">
        <f t="shared" si="20"/>
        <v>0</v>
      </c>
      <c r="F43" s="34">
        <f t="shared" si="20"/>
        <v>0</v>
      </c>
      <c r="G43" s="34">
        <f t="shared" si="20"/>
        <v>4151.1000000000004</v>
      </c>
      <c r="H43" s="19">
        <f t="shared" si="3"/>
        <v>500.00000000000045</v>
      </c>
      <c r="I43" s="19">
        <f t="shared" si="4"/>
        <v>4151.1000000000004</v>
      </c>
      <c r="J43" s="34">
        <f>SUM(J44+J45+J46+J47)</f>
        <v>3651.1</v>
      </c>
      <c r="K43" s="34">
        <f t="shared" ref="K43" si="21">SUM(K44+K45+K46+K47)</f>
        <v>0</v>
      </c>
      <c r="L43" s="19">
        <f t="shared" si="6"/>
        <v>0</v>
      </c>
      <c r="M43" s="19">
        <f t="shared" si="7"/>
        <v>3651.1</v>
      </c>
      <c r="N43" s="19">
        <f t="shared" ref="N43:O43" si="22">SUM(N44+N45+N46+N47)</f>
        <v>3651.1</v>
      </c>
      <c r="O43" s="19">
        <f t="shared" si="22"/>
        <v>0</v>
      </c>
      <c r="P43" s="66">
        <f t="shared" si="8"/>
        <v>0</v>
      </c>
      <c r="Q43" s="66">
        <f t="shared" si="9"/>
        <v>3651.1</v>
      </c>
    </row>
    <row r="44" spans="1:17" ht="105" x14ac:dyDescent="0.25">
      <c r="A44" s="32" t="s">
        <v>71</v>
      </c>
      <c r="B44" s="18" t="s">
        <v>72</v>
      </c>
      <c r="C44" s="18"/>
      <c r="D44" s="22">
        <v>0</v>
      </c>
      <c r="E44" s="22">
        <v>0</v>
      </c>
      <c r="F44" s="22">
        <v>0</v>
      </c>
      <c r="G44" s="22">
        <v>500</v>
      </c>
      <c r="H44" s="19">
        <f t="shared" si="3"/>
        <v>500</v>
      </c>
      <c r="I44" s="19">
        <f t="shared" si="4"/>
        <v>500</v>
      </c>
      <c r="J44" s="22">
        <v>0</v>
      </c>
      <c r="K44" s="22">
        <v>0</v>
      </c>
      <c r="L44" s="19">
        <f t="shared" si="6"/>
        <v>0</v>
      </c>
      <c r="M44" s="19">
        <f t="shared" si="7"/>
        <v>0</v>
      </c>
      <c r="N44" s="22">
        <v>0</v>
      </c>
      <c r="O44" s="66">
        <v>0</v>
      </c>
      <c r="P44" s="66">
        <f t="shared" si="8"/>
        <v>0</v>
      </c>
      <c r="Q44" s="66">
        <f t="shared" si="9"/>
        <v>0</v>
      </c>
    </row>
    <row r="45" spans="1:17" ht="105" hidden="1" x14ac:dyDescent="0.25">
      <c r="A45" s="32" t="s">
        <v>73</v>
      </c>
      <c r="B45" s="18" t="s">
        <v>74</v>
      </c>
      <c r="C45" s="18"/>
      <c r="D45" s="22">
        <v>0</v>
      </c>
      <c r="E45" s="22"/>
      <c r="F45" s="22"/>
      <c r="G45" s="22"/>
      <c r="H45" s="19">
        <f t="shared" si="3"/>
        <v>0</v>
      </c>
      <c r="I45" s="19">
        <f t="shared" si="4"/>
        <v>0</v>
      </c>
      <c r="J45" s="22">
        <v>0</v>
      </c>
      <c r="K45" s="22"/>
      <c r="L45" s="19">
        <f t="shared" si="6"/>
        <v>0</v>
      </c>
      <c r="M45" s="19">
        <f t="shared" si="7"/>
        <v>0</v>
      </c>
      <c r="N45" s="22"/>
      <c r="O45" s="66"/>
      <c r="P45" s="66">
        <f t="shared" si="8"/>
        <v>0</v>
      </c>
      <c r="Q45" s="66">
        <f t="shared" si="9"/>
        <v>0</v>
      </c>
    </row>
    <row r="46" spans="1:17" ht="65.25" customHeight="1" x14ac:dyDescent="0.25">
      <c r="A46" s="32" t="s">
        <v>75</v>
      </c>
      <c r="B46" s="18" t="s">
        <v>76</v>
      </c>
      <c r="C46" s="18"/>
      <c r="D46" s="22">
        <v>3651.1</v>
      </c>
      <c r="E46" s="22">
        <v>0</v>
      </c>
      <c r="F46" s="22">
        <v>0</v>
      </c>
      <c r="G46" s="22">
        <v>3651.1</v>
      </c>
      <c r="H46" s="19">
        <f t="shared" si="3"/>
        <v>0</v>
      </c>
      <c r="I46" s="19">
        <f t="shared" si="4"/>
        <v>3651.1</v>
      </c>
      <c r="J46" s="22">
        <v>3651.1</v>
      </c>
      <c r="K46" s="22">
        <v>0</v>
      </c>
      <c r="L46" s="19">
        <f t="shared" si="6"/>
        <v>0</v>
      </c>
      <c r="M46" s="19">
        <f t="shared" si="7"/>
        <v>3651.1</v>
      </c>
      <c r="N46" s="22">
        <v>3651.1</v>
      </c>
      <c r="O46" s="66">
        <v>0</v>
      </c>
      <c r="P46" s="66">
        <f t="shared" si="8"/>
        <v>0</v>
      </c>
      <c r="Q46" s="66">
        <f t="shared" si="9"/>
        <v>3651.1</v>
      </c>
    </row>
    <row r="47" spans="1:17" ht="75" hidden="1" x14ac:dyDescent="0.25">
      <c r="A47" s="32" t="s">
        <v>77</v>
      </c>
      <c r="B47" s="18" t="s">
        <v>78</v>
      </c>
      <c r="C47" s="18"/>
      <c r="D47" s="22">
        <v>0</v>
      </c>
      <c r="E47" s="22"/>
      <c r="F47" s="22"/>
      <c r="G47" s="22"/>
      <c r="H47" s="19">
        <f t="shared" si="3"/>
        <v>0</v>
      </c>
      <c r="I47" s="19">
        <f t="shared" si="4"/>
        <v>0</v>
      </c>
      <c r="J47" s="22">
        <v>0</v>
      </c>
      <c r="K47" s="22"/>
      <c r="L47" s="19">
        <f t="shared" si="6"/>
        <v>0</v>
      </c>
      <c r="M47" s="19">
        <f t="shared" si="7"/>
        <v>0</v>
      </c>
      <c r="N47" s="22"/>
      <c r="O47" s="66"/>
      <c r="P47" s="66">
        <f t="shared" si="8"/>
        <v>0</v>
      </c>
      <c r="Q47" s="66">
        <f t="shared" si="9"/>
        <v>0</v>
      </c>
    </row>
    <row r="48" spans="1:17" ht="32.25" customHeight="1" x14ac:dyDescent="0.25">
      <c r="A48" s="32" t="s">
        <v>79</v>
      </c>
      <c r="B48" s="33" t="s">
        <v>80</v>
      </c>
      <c r="C48" s="33"/>
      <c r="D48" s="22">
        <v>1725.8</v>
      </c>
      <c r="E48" s="22">
        <v>0</v>
      </c>
      <c r="F48" s="22">
        <v>0</v>
      </c>
      <c r="G48" s="22">
        <v>4175.3</v>
      </c>
      <c r="H48" s="19">
        <f t="shared" si="3"/>
        <v>2449.5</v>
      </c>
      <c r="I48" s="19">
        <f>D48+H48</f>
        <v>4175.3</v>
      </c>
      <c r="J48" s="22">
        <v>1732.8</v>
      </c>
      <c r="K48" s="22">
        <v>0</v>
      </c>
      <c r="L48" s="19">
        <f t="shared" si="6"/>
        <v>0</v>
      </c>
      <c r="M48" s="19">
        <f t="shared" si="7"/>
        <v>1732.8</v>
      </c>
      <c r="N48" s="22">
        <v>1742.2</v>
      </c>
      <c r="O48" s="66">
        <v>0</v>
      </c>
      <c r="P48" s="66">
        <f t="shared" si="8"/>
        <v>0</v>
      </c>
      <c r="Q48" s="66">
        <f t="shared" si="9"/>
        <v>1742.2</v>
      </c>
    </row>
    <row r="49" spans="1:17" x14ac:dyDescent="0.25">
      <c r="A49" s="32" t="s">
        <v>81</v>
      </c>
      <c r="B49" s="33" t="s">
        <v>82</v>
      </c>
      <c r="C49" s="33"/>
      <c r="D49" s="34">
        <f t="shared" ref="D49:N49" si="23">D50</f>
        <v>0</v>
      </c>
      <c r="E49" s="34">
        <v>0</v>
      </c>
      <c r="F49" s="34">
        <v>0</v>
      </c>
      <c r="G49" s="34">
        <v>0</v>
      </c>
      <c r="H49" s="19">
        <f t="shared" si="3"/>
        <v>0</v>
      </c>
      <c r="I49" s="19">
        <f t="shared" si="4"/>
        <v>0</v>
      </c>
      <c r="J49" s="34">
        <f t="shared" si="23"/>
        <v>0</v>
      </c>
      <c r="K49" s="34">
        <v>0</v>
      </c>
      <c r="L49" s="19">
        <f t="shared" si="6"/>
        <v>0</v>
      </c>
      <c r="M49" s="19">
        <f t="shared" si="7"/>
        <v>0</v>
      </c>
      <c r="N49" s="19">
        <f t="shared" si="23"/>
        <v>0</v>
      </c>
      <c r="O49" s="66">
        <v>0</v>
      </c>
      <c r="P49" s="66">
        <f t="shared" si="8"/>
        <v>0</v>
      </c>
      <c r="Q49" s="66">
        <f t="shared" si="9"/>
        <v>0</v>
      </c>
    </row>
    <row r="50" spans="1:17" ht="30" hidden="1" x14ac:dyDescent="0.25">
      <c r="A50" s="39" t="s">
        <v>83</v>
      </c>
      <c r="B50" s="40" t="s">
        <v>84</v>
      </c>
      <c r="C50" s="40"/>
      <c r="D50" s="22">
        <v>0</v>
      </c>
      <c r="E50" s="22">
        <v>0</v>
      </c>
      <c r="F50" s="22">
        <v>0</v>
      </c>
      <c r="G50" s="22"/>
      <c r="H50" s="22">
        <v>0</v>
      </c>
      <c r="I50" s="19">
        <f t="shared" si="4"/>
        <v>0</v>
      </c>
      <c r="J50" s="22">
        <v>0</v>
      </c>
      <c r="K50" s="22"/>
      <c r="L50" s="19">
        <f t="shared" si="6"/>
        <v>0</v>
      </c>
      <c r="M50" s="22"/>
      <c r="N50" s="22">
        <v>0</v>
      </c>
      <c r="O50" s="66"/>
      <c r="P50" s="66"/>
      <c r="Q50" s="66"/>
    </row>
    <row r="51" spans="1:17" ht="30" hidden="1" x14ac:dyDescent="0.25">
      <c r="A51" s="39" t="s">
        <v>85</v>
      </c>
      <c r="B51" s="40" t="s">
        <v>86</v>
      </c>
      <c r="C51" s="40"/>
      <c r="D51" s="22">
        <v>0</v>
      </c>
      <c r="E51" s="22">
        <v>0</v>
      </c>
      <c r="F51" s="22">
        <v>0</v>
      </c>
      <c r="G51" s="22"/>
      <c r="H51" s="22"/>
      <c r="I51" s="19">
        <f t="shared" si="4"/>
        <v>0</v>
      </c>
      <c r="J51" s="22">
        <v>0</v>
      </c>
      <c r="K51" s="22"/>
      <c r="L51" s="19">
        <f t="shared" si="6"/>
        <v>0</v>
      </c>
      <c r="M51" s="22"/>
      <c r="N51" s="22"/>
      <c r="O51" s="66"/>
      <c r="P51" s="66"/>
      <c r="Q51" s="66"/>
    </row>
    <row r="52" spans="1:17" x14ac:dyDescent="0.25">
      <c r="A52" s="32" t="s">
        <v>87</v>
      </c>
      <c r="B52" s="41" t="s">
        <v>88</v>
      </c>
      <c r="C52" s="41"/>
      <c r="D52" s="34">
        <f>SUM(D53+D106+D108+D111)</f>
        <v>1489888.2</v>
      </c>
      <c r="E52" s="34">
        <f>SUM(E53+E106+E108+E111)</f>
        <v>1792987.5</v>
      </c>
      <c r="F52" s="34">
        <f>SUM(F53+F106+F108+F111)</f>
        <v>4439.3999999999996</v>
      </c>
      <c r="G52" s="34">
        <f>G53+G106+G108+G111</f>
        <v>-338.6</v>
      </c>
      <c r="H52" s="34">
        <f>H53+H106+H108+H111</f>
        <v>307200.09999999998</v>
      </c>
      <c r="I52" s="34">
        <f>I53+I106+I108+I111</f>
        <v>1797088.2999999998</v>
      </c>
      <c r="J52" s="34">
        <f>SUM(J53+J106+J108+J111)</f>
        <v>850108</v>
      </c>
      <c r="K52" s="34">
        <f t="shared" ref="K52" si="24">SUM(K53+K106+K108+K111)</f>
        <v>982292.9</v>
      </c>
      <c r="L52" s="34">
        <f>K52-J52</f>
        <v>132184.90000000002</v>
      </c>
      <c r="M52" s="34">
        <f>L52+J52</f>
        <v>982292.9</v>
      </c>
      <c r="N52" s="19">
        <f>SUM(N53+N106+N108+N111)</f>
        <v>771343.7</v>
      </c>
      <c r="O52" s="19">
        <f t="shared" ref="O52" si="25">SUM(O53+O106+O108+O111)</f>
        <v>805082</v>
      </c>
      <c r="P52" s="66">
        <f>O52-N52</f>
        <v>33738.300000000047</v>
      </c>
      <c r="Q52" s="66">
        <f>P52+N52</f>
        <v>805082</v>
      </c>
    </row>
    <row r="53" spans="1:17" ht="45" x14ac:dyDescent="0.25">
      <c r="A53" s="32" t="s">
        <v>89</v>
      </c>
      <c r="B53" s="41" t="s">
        <v>90</v>
      </c>
      <c r="C53" s="42"/>
      <c r="D53" s="34">
        <f>SUM(D54+D57+D80+D99)</f>
        <v>1489888.2</v>
      </c>
      <c r="E53" s="34">
        <f>SUM(E54+E57+E80+E99)</f>
        <v>1792987.5</v>
      </c>
      <c r="F53" s="34">
        <f>SUM(F54+F57+F80+F99)</f>
        <v>4439.3999999999996</v>
      </c>
      <c r="G53" s="34">
        <v>0</v>
      </c>
      <c r="H53" s="34">
        <f t="shared" ref="H53:H83" si="26">(E53+F53)-D53</f>
        <v>307538.69999999995</v>
      </c>
      <c r="I53" s="34">
        <f t="shared" ref="I53:I83" si="27">D53+H53</f>
        <v>1797426.9</v>
      </c>
      <c r="J53" s="34">
        <f>SUM(J54+J57+J80+J99)</f>
        <v>850108</v>
      </c>
      <c r="K53" s="34">
        <f t="shared" ref="K53" si="28">SUM(K54+K57+K80+K99)</f>
        <v>982292.9</v>
      </c>
      <c r="L53" s="34">
        <f t="shared" ref="L53:L112" si="29">K53-J53</f>
        <v>132184.90000000002</v>
      </c>
      <c r="M53" s="34">
        <f t="shared" ref="M53:M112" si="30">L53+J53</f>
        <v>982292.9</v>
      </c>
      <c r="N53" s="19">
        <f>SUM(N54+N57+N80+N99)</f>
        <v>771343.7</v>
      </c>
      <c r="O53" s="19">
        <f t="shared" ref="O53" si="31">SUM(O54+O57+O80+O99)</f>
        <v>805082</v>
      </c>
      <c r="P53" s="66">
        <f t="shared" ref="P53:P112" si="32">O53-N53</f>
        <v>33738.300000000047</v>
      </c>
      <c r="Q53" s="66">
        <f t="shared" ref="Q53:Q112" si="33">P53+N53</f>
        <v>805082</v>
      </c>
    </row>
    <row r="54" spans="1:17" ht="30" x14ac:dyDescent="0.25">
      <c r="A54" s="24" t="s">
        <v>91</v>
      </c>
      <c r="B54" s="25" t="s">
        <v>92</v>
      </c>
      <c r="C54" s="42"/>
      <c r="D54" s="34">
        <f>D56</f>
        <v>0</v>
      </c>
      <c r="E54" s="34">
        <f t="shared" ref="E54:F54" si="34">E56</f>
        <v>0</v>
      </c>
      <c r="F54" s="34">
        <f t="shared" si="34"/>
        <v>0</v>
      </c>
      <c r="G54" s="34">
        <v>0</v>
      </c>
      <c r="H54" s="34">
        <f t="shared" si="26"/>
        <v>0</v>
      </c>
      <c r="I54" s="34">
        <f t="shared" si="27"/>
        <v>0</v>
      </c>
      <c r="J54" s="34">
        <f t="shared" ref="J54:O54" si="35">J55+J56</f>
        <v>0</v>
      </c>
      <c r="K54" s="34">
        <f t="shared" si="35"/>
        <v>0</v>
      </c>
      <c r="L54" s="34">
        <f t="shared" si="29"/>
        <v>0</v>
      </c>
      <c r="M54" s="34">
        <f t="shared" si="30"/>
        <v>0</v>
      </c>
      <c r="N54" s="19">
        <f t="shared" si="35"/>
        <v>0</v>
      </c>
      <c r="O54" s="19">
        <f t="shared" si="35"/>
        <v>0</v>
      </c>
      <c r="P54" s="66">
        <f t="shared" si="32"/>
        <v>0</v>
      </c>
      <c r="Q54" s="66">
        <f t="shared" si="33"/>
        <v>0</v>
      </c>
    </row>
    <row r="55" spans="1:17" ht="60" hidden="1" x14ac:dyDescent="0.25">
      <c r="A55" s="24" t="s">
        <v>93</v>
      </c>
      <c r="B55" s="43" t="s">
        <v>94</v>
      </c>
      <c r="C55" s="42">
        <v>6001</v>
      </c>
      <c r="D55" s="22">
        <v>0</v>
      </c>
      <c r="E55" s="22"/>
      <c r="F55" s="22"/>
      <c r="G55" s="22"/>
      <c r="H55" s="34">
        <f t="shared" si="26"/>
        <v>0</v>
      </c>
      <c r="I55" s="34">
        <f t="shared" si="27"/>
        <v>0</v>
      </c>
      <c r="J55" s="22">
        <v>0</v>
      </c>
      <c r="K55" s="22"/>
      <c r="L55" s="34">
        <f t="shared" si="29"/>
        <v>0</v>
      </c>
      <c r="M55" s="34">
        <f t="shared" si="30"/>
        <v>0</v>
      </c>
      <c r="N55" s="22"/>
      <c r="O55" s="66"/>
      <c r="P55" s="66">
        <f t="shared" si="32"/>
        <v>0</v>
      </c>
      <c r="Q55" s="66">
        <f t="shared" si="33"/>
        <v>0</v>
      </c>
    </row>
    <row r="56" spans="1:17" ht="45" hidden="1" x14ac:dyDescent="0.25">
      <c r="A56" s="44" t="s">
        <v>95</v>
      </c>
      <c r="B56" s="45" t="s">
        <v>96</v>
      </c>
      <c r="C56" s="46">
        <v>60030</v>
      </c>
      <c r="D56" s="22">
        <v>0</v>
      </c>
      <c r="E56" s="22"/>
      <c r="F56" s="22"/>
      <c r="G56" s="22"/>
      <c r="H56" s="34">
        <f t="shared" si="26"/>
        <v>0</v>
      </c>
      <c r="I56" s="34">
        <f t="shared" si="27"/>
        <v>0</v>
      </c>
      <c r="J56" s="22">
        <v>0</v>
      </c>
      <c r="K56" s="22"/>
      <c r="L56" s="34">
        <f t="shared" si="29"/>
        <v>0</v>
      </c>
      <c r="M56" s="34">
        <f t="shared" si="30"/>
        <v>0</v>
      </c>
      <c r="N56" s="22">
        <v>0</v>
      </c>
      <c r="O56" s="66"/>
      <c r="P56" s="66">
        <f t="shared" si="32"/>
        <v>0</v>
      </c>
      <c r="Q56" s="66">
        <f t="shared" si="33"/>
        <v>0</v>
      </c>
    </row>
    <row r="57" spans="1:17" ht="45" x14ac:dyDescent="0.25">
      <c r="A57" s="14" t="s">
        <v>97</v>
      </c>
      <c r="B57" s="47" t="s">
        <v>98</v>
      </c>
      <c r="C57" s="46"/>
      <c r="D57" s="19">
        <f t="shared" ref="D57:F57" si="36">SUM(D58:D79)</f>
        <v>959247.20000000007</v>
      </c>
      <c r="E57" s="19">
        <f t="shared" si="36"/>
        <v>1119394.2</v>
      </c>
      <c r="F57" s="19">
        <f t="shared" si="36"/>
        <v>4439.3999999999996</v>
      </c>
      <c r="G57" s="19">
        <v>0</v>
      </c>
      <c r="H57" s="34">
        <f t="shared" si="26"/>
        <v>164586.39999999979</v>
      </c>
      <c r="I57" s="34">
        <f t="shared" si="27"/>
        <v>1123833.5999999999</v>
      </c>
      <c r="J57" s="19">
        <f>SUM(J58:J79)</f>
        <v>352770</v>
      </c>
      <c r="K57" s="19">
        <f t="shared" ref="K57" si="37">SUM(K58:K79)</f>
        <v>354301</v>
      </c>
      <c r="L57" s="34">
        <f t="shared" si="29"/>
        <v>1531</v>
      </c>
      <c r="M57" s="34">
        <f t="shared" si="30"/>
        <v>354301</v>
      </c>
      <c r="N57" s="19">
        <f>SUM(N58:N79)</f>
        <v>273845.8</v>
      </c>
      <c r="O57" s="19">
        <f t="shared" ref="O57" si="38">SUM(O58:O79)</f>
        <v>331432.7</v>
      </c>
      <c r="P57" s="66">
        <f t="shared" si="32"/>
        <v>57586.900000000023</v>
      </c>
      <c r="Q57" s="66">
        <f t="shared" si="33"/>
        <v>331432.7</v>
      </c>
    </row>
    <row r="58" spans="1:17" ht="75" x14ac:dyDescent="0.25">
      <c r="A58" s="16" t="s">
        <v>99</v>
      </c>
      <c r="B58" s="48" t="s">
        <v>100</v>
      </c>
      <c r="C58" s="46">
        <v>63320</v>
      </c>
      <c r="D58" s="22">
        <f>2425.5+1816.2</f>
        <v>4241.7</v>
      </c>
      <c r="E58" s="22">
        <v>4241.7</v>
      </c>
      <c r="F58" s="22">
        <v>0</v>
      </c>
      <c r="G58" s="22">
        <v>0</v>
      </c>
      <c r="H58" s="34">
        <f t="shared" si="26"/>
        <v>0</v>
      </c>
      <c r="I58" s="34">
        <f t="shared" si="27"/>
        <v>4241.7</v>
      </c>
      <c r="J58" s="22">
        <v>1816.2</v>
      </c>
      <c r="K58" s="22">
        <v>1816.2</v>
      </c>
      <c r="L58" s="34">
        <f t="shared" si="29"/>
        <v>0</v>
      </c>
      <c r="M58" s="34">
        <f t="shared" si="30"/>
        <v>1816.2</v>
      </c>
      <c r="N58" s="22">
        <v>1816.2</v>
      </c>
      <c r="O58" s="66">
        <v>1816.2</v>
      </c>
      <c r="P58" s="66">
        <f t="shared" si="32"/>
        <v>0</v>
      </c>
      <c r="Q58" s="66">
        <f t="shared" si="33"/>
        <v>1816.2</v>
      </c>
    </row>
    <row r="59" spans="1:17" ht="45" hidden="1" x14ac:dyDescent="0.25">
      <c r="A59" s="16" t="s">
        <v>99</v>
      </c>
      <c r="B59" s="47" t="s">
        <v>101</v>
      </c>
      <c r="C59" s="46">
        <v>63300</v>
      </c>
      <c r="D59" s="22">
        <v>0</v>
      </c>
      <c r="E59" s="22"/>
      <c r="F59" s="22"/>
      <c r="G59" s="22"/>
      <c r="H59" s="34">
        <f t="shared" si="26"/>
        <v>0</v>
      </c>
      <c r="I59" s="34">
        <f t="shared" si="27"/>
        <v>0</v>
      </c>
      <c r="J59" s="22">
        <v>0</v>
      </c>
      <c r="K59" s="22"/>
      <c r="L59" s="34">
        <f t="shared" si="29"/>
        <v>0</v>
      </c>
      <c r="M59" s="34">
        <f t="shared" si="30"/>
        <v>0</v>
      </c>
      <c r="N59" s="22">
        <v>0</v>
      </c>
      <c r="O59" s="66"/>
      <c r="P59" s="66">
        <f t="shared" si="32"/>
        <v>0</v>
      </c>
      <c r="Q59" s="66">
        <f t="shared" si="33"/>
        <v>0</v>
      </c>
    </row>
    <row r="60" spans="1:17" ht="60" x14ac:dyDescent="0.25">
      <c r="A60" s="16" t="s">
        <v>99</v>
      </c>
      <c r="B60" s="47" t="s">
        <v>102</v>
      </c>
      <c r="C60" s="46">
        <v>63170</v>
      </c>
      <c r="D60" s="22">
        <v>35658.300000000003</v>
      </c>
      <c r="E60" s="22">
        <v>35658.300000000003</v>
      </c>
      <c r="F60" s="22">
        <v>0</v>
      </c>
      <c r="G60" s="22">
        <v>0</v>
      </c>
      <c r="H60" s="34">
        <f t="shared" si="26"/>
        <v>0</v>
      </c>
      <c r="I60" s="34">
        <f t="shared" si="27"/>
        <v>35658.300000000003</v>
      </c>
      <c r="J60" s="22">
        <v>36058.300000000003</v>
      </c>
      <c r="K60" s="22">
        <v>36058.300000000003</v>
      </c>
      <c r="L60" s="34">
        <f t="shared" si="29"/>
        <v>0</v>
      </c>
      <c r="M60" s="34">
        <f t="shared" si="30"/>
        <v>36058.300000000003</v>
      </c>
      <c r="N60" s="22">
        <v>0</v>
      </c>
      <c r="O60" s="66">
        <v>36058.300000000003</v>
      </c>
      <c r="P60" s="66">
        <f t="shared" si="32"/>
        <v>36058.300000000003</v>
      </c>
      <c r="Q60" s="66">
        <f t="shared" si="33"/>
        <v>36058.300000000003</v>
      </c>
    </row>
    <row r="61" spans="1:17" ht="45" x14ac:dyDescent="0.25">
      <c r="A61" s="16" t="s">
        <v>99</v>
      </c>
      <c r="B61" s="47" t="s">
        <v>103</v>
      </c>
      <c r="C61" s="46">
        <v>63180</v>
      </c>
      <c r="D61" s="22">
        <v>4817.7</v>
      </c>
      <c r="E61" s="22">
        <v>6110.7</v>
      </c>
      <c r="F61" s="22">
        <v>0</v>
      </c>
      <c r="G61" s="22">
        <v>0</v>
      </c>
      <c r="H61" s="34">
        <f t="shared" si="26"/>
        <v>1293</v>
      </c>
      <c r="I61" s="34">
        <f t="shared" si="27"/>
        <v>6110.7</v>
      </c>
      <c r="J61" s="22">
        <v>4817.7</v>
      </c>
      <c r="K61" s="22">
        <v>6110.7</v>
      </c>
      <c r="L61" s="34">
        <f t="shared" si="29"/>
        <v>1293</v>
      </c>
      <c r="M61" s="34">
        <f t="shared" si="30"/>
        <v>6110.7</v>
      </c>
      <c r="N61" s="22">
        <v>4817.7</v>
      </c>
      <c r="O61" s="66">
        <v>6110.7</v>
      </c>
      <c r="P61" s="66">
        <f t="shared" si="32"/>
        <v>1293</v>
      </c>
      <c r="Q61" s="66">
        <f t="shared" si="33"/>
        <v>6110.7</v>
      </c>
    </row>
    <row r="62" spans="1:17" ht="26.25" hidden="1" customHeight="1" x14ac:dyDescent="0.25">
      <c r="A62" s="16" t="s">
        <v>104</v>
      </c>
      <c r="B62" s="47" t="s">
        <v>105</v>
      </c>
      <c r="C62" s="42" t="s">
        <v>106</v>
      </c>
      <c r="D62" s="22">
        <v>0</v>
      </c>
      <c r="E62" s="22"/>
      <c r="F62" s="22"/>
      <c r="G62" s="22"/>
      <c r="H62" s="34">
        <f t="shared" si="26"/>
        <v>0</v>
      </c>
      <c r="I62" s="34">
        <f t="shared" si="27"/>
        <v>0</v>
      </c>
      <c r="J62" s="22">
        <v>0</v>
      </c>
      <c r="K62" s="22"/>
      <c r="L62" s="34">
        <f t="shared" si="29"/>
        <v>0</v>
      </c>
      <c r="M62" s="34">
        <f t="shared" si="30"/>
        <v>0</v>
      </c>
      <c r="N62" s="22"/>
      <c r="O62" s="66"/>
      <c r="P62" s="66">
        <f t="shared" si="32"/>
        <v>0</v>
      </c>
      <c r="Q62" s="66">
        <f t="shared" si="33"/>
        <v>0</v>
      </c>
    </row>
    <row r="63" spans="1:17" ht="77.25" customHeight="1" x14ac:dyDescent="0.25">
      <c r="A63" s="67" t="s">
        <v>99</v>
      </c>
      <c r="B63" s="50" t="s">
        <v>107</v>
      </c>
      <c r="C63" s="46">
        <v>63330</v>
      </c>
      <c r="D63" s="22">
        <v>12000</v>
      </c>
      <c r="E63" s="22">
        <v>10000</v>
      </c>
      <c r="F63" s="22">
        <v>0</v>
      </c>
      <c r="G63" s="22">
        <v>0</v>
      </c>
      <c r="H63" s="34">
        <f t="shared" si="26"/>
        <v>-2000</v>
      </c>
      <c r="I63" s="34">
        <f t="shared" si="27"/>
        <v>10000</v>
      </c>
      <c r="J63" s="22">
        <v>12000</v>
      </c>
      <c r="K63" s="22">
        <v>10000</v>
      </c>
      <c r="L63" s="34">
        <f t="shared" si="29"/>
        <v>-2000</v>
      </c>
      <c r="M63" s="34">
        <f t="shared" si="30"/>
        <v>10000</v>
      </c>
      <c r="N63" s="22">
        <v>0</v>
      </c>
      <c r="O63" s="66">
        <v>10000</v>
      </c>
      <c r="P63" s="66">
        <f t="shared" si="32"/>
        <v>10000</v>
      </c>
      <c r="Q63" s="66">
        <f t="shared" si="33"/>
        <v>10000</v>
      </c>
    </row>
    <row r="64" spans="1:17" ht="30" x14ac:dyDescent="0.25">
      <c r="A64" s="67" t="s">
        <v>99</v>
      </c>
      <c r="B64" s="50" t="s">
        <v>108</v>
      </c>
      <c r="C64" s="46">
        <v>63110</v>
      </c>
      <c r="D64" s="22">
        <v>0</v>
      </c>
      <c r="E64" s="22">
        <v>2574</v>
      </c>
      <c r="F64" s="22">
        <v>0</v>
      </c>
      <c r="G64" s="22">
        <v>0</v>
      </c>
      <c r="H64" s="34">
        <f t="shared" si="26"/>
        <v>2574</v>
      </c>
      <c r="I64" s="34">
        <f t="shared" si="27"/>
        <v>2574</v>
      </c>
      <c r="J64" s="22">
        <v>0</v>
      </c>
      <c r="K64" s="22">
        <v>0</v>
      </c>
      <c r="L64" s="34">
        <f t="shared" si="29"/>
        <v>0</v>
      </c>
      <c r="M64" s="34">
        <f t="shared" si="30"/>
        <v>0</v>
      </c>
      <c r="N64" s="22">
        <v>0</v>
      </c>
      <c r="O64" s="66">
        <v>0</v>
      </c>
      <c r="P64" s="66">
        <f t="shared" si="32"/>
        <v>0</v>
      </c>
      <c r="Q64" s="66">
        <f t="shared" si="33"/>
        <v>0</v>
      </c>
    </row>
    <row r="65" spans="1:17" ht="45" hidden="1" x14ac:dyDescent="0.25">
      <c r="A65" s="16" t="s">
        <v>182</v>
      </c>
      <c r="B65" s="50" t="s">
        <v>181</v>
      </c>
      <c r="C65" s="51" t="s">
        <v>180</v>
      </c>
      <c r="D65" s="22">
        <v>0</v>
      </c>
      <c r="E65" s="22"/>
      <c r="F65" s="22"/>
      <c r="G65" s="22"/>
      <c r="H65" s="34">
        <f t="shared" si="26"/>
        <v>0</v>
      </c>
      <c r="I65" s="34">
        <f t="shared" si="27"/>
        <v>0</v>
      </c>
      <c r="J65" s="22">
        <v>0</v>
      </c>
      <c r="K65" s="22"/>
      <c r="L65" s="34">
        <f t="shared" si="29"/>
        <v>0</v>
      </c>
      <c r="M65" s="34">
        <f t="shared" si="30"/>
        <v>0</v>
      </c>
      <c r="N65" s="22">
        <v>0</v>
      </c>
      <c r="O65" s="66"/>
      <c r="P65" s="66">
        <f t="shared" si="32"/>
        <v>0</v>
      </c>
      <c r="Q65" s="66">
        <f t="shared" si="33"/>
        <v>0</v>
      </c>
    </row>
    <row r="66" spans="1:17" ht="75" x14ac:dyDescent="0.25">
      <c r="A66" s="67" t="s">
        <v>99</v>
      </c>
      <c r="B66" s="49" t="s">
        <v>109</v>
      </c>
      <c r="C66" s="51">
        <v>63350</v>
      </c>
      <c r="D66" s="22">
        <v>0</v>
      </c>
      <c r="E66" s="22">
        <v>0</v>
      </c>
      <c r="F66" s="22">
        <v>0</v>
      </c>
      <c r="G66" s="22">
        <v>0</v>
      </c>
      <c r="H66" s="34">
        <f t="shared" si="26"/>
        <v>0</v>
      </c>
      <c r="I66" s="34">
        <f t="shared" si="27"/>
        <v>0</v>
      </c>
      <c r="J66" s="22">
        <v>14883.5</v>
      </c>
      <c r="K66" s="22">
        <v>14883.5</v>
      </c>
      <c r="L66" s="34">
        <f t="shared" si="29"/>
        <v>0</v>
      </c>
      <c r="M66" s="34">
        <f t="shared" si="30"/>
        <v>14883.5</v>
      </c>
      <c r="N66" s="22">
        <v>19100.599999999999</v>
      </c>
      <c r="O66" s="66">
        <v>19100.599999999999</v>
      </c>
      <c r="P66" s="66">
        <f t="shared" si="32"/>
        <v>0</v>
      </c>
      <c r="Q66" s="66">
        <f t="shared" si="33"/>
        <v>19100.599999999999</v>
      </c>
    </row>
    <row r="67" spans="1:17" ht="75" x14ac:dyDescent="0.25">
      <c r="A67" s="16" t="s">
        <v>110</v>
      </c>
      <c r="B67" s="49" t="s">
        <v>111</v>
      </c>
      <c r="C67" s="51" t="s">
        <v>186</v>
      </c>
      <c r="D67" s="22">
        <f>4855.1+12740.5</f>
        <v>17595.599999999999</v>
      </c>
      <c r="E67" s="22">
        <f>12740.5+4855.1</f>
        <v>17595.599999999999</v>
      </c>
      <c r="F67" s="22">
        <v>0</v>
      </c>
      <c r="G67" s="22">
        <v>0</v>
      </c>
      <c r="H67" s="34">
        <f t="shared" si="26"/>
        <v>0</v>
      </c>
      <c r="I67" s="34">
        <f t="shared" si="27"/>
        <v>17595.599999999999</v>
      </c>
      <c r="J67" s="22">
        <f>6433+18317</f>
        <v>24750</v>
      </c>
      <c r="K67" s="22">
        <f>18317+6433</f>
        <v>24750</v>
      </c>
      <c r="L67" s="34">
        <f t="shared" si="29"/>
        <v>0</v>
      </c>
      <c r="M67" s="34">
        <f t="shared" si="30"/>
        <v>24750</v>
      </c>
      <c r="N67" s="22">
        <v>0</v>
      </c>
      <c r="O67" s="66">
        <v>0</v>
      </c>
      <c r="P67" s="66">
        <f t="shared" si="32"/>
        <v>0</v>
      </c>
      <c r="Q67" s="66">
        <f t="shared" si="33"/>
        <v>0</v>
      </c>
    </row>
    <row r="68" spans="1:17" ht="30" x14ac:dyDescent="0.25">
      <c r="A68" s="16" t="s">
        <v>99</v>
      </c>
      <c r="B68" s="49" t="s">
        <v>112</v>
      </c>
      <c r="C68" s="46">
        <v>63010</v>
      </c>
      <c r="D68" s="22">
        <v>0</v>
      </c>
      <c r="E68" s="22">
        <v>1916.6</v>
      </c>
      <c r="F68" s="22">
        <v>0</v>
      </c>
      <c r="G68" s="22">
        <v>0</v>
      </c>
      <c r="H68" s="34">
        <f t="shared" si="26"/>
        <v>1916.6</v>
      </c>
      <c r="I68" s="34">
        <f t="shared" si="27"/>
        <v>1916.6</v>
      </c>
      <c r="J68" s="22">
        <v>0</v>
      </c>
      <c r="K68" s="22">
        <v>181.1</v>
      </c>
      <c r="L68" s="34">
        <f t="shared" si="29"/>
        <v>181.1</v>
      </c>
      <c r="M68" s="34">
        <f t="shared" si="30"/>
        <v>181.1</v>
      </c>
      <c r="N68" s="22">
        <v>0</v>
      </c>
      <c r="O68" s="66">
        <v>110.3</v>
      </c>
      <c r="P68" s="66">
        <f t="shared" si="32"/>
        <v>110.3</v>
      </c>
      <c r="Q68" s="66">
        <f t="shared" si="33"/>
        <v>110.3</v>
      </c>
    </row>
    <row r="69" spans="1:17" ht="45" hidden="1" x14ac:dyDescent="0.25">
      <c r="A69" s="16" t="s">
        <v>99</v>
      </c>
      <c r="B69" s="49" t="s">
        <v>113</v>
      </c>
      <c r="C69" s="46">
        <v>63370</v>
      </c>
      <c r="D69" s="22">
        <v>0</v>
      </c>
      <c r="E69" s="22"/>
      <c r="F69" s="22"/>
      <c r="G69" s="22"/>
      <c r="H69" s="34">
        <f t="shared" si="26"/>
        <v>0</v>
      </c>
      <c r="I69" s="34">
        <f t="shared" si="27"/>
        <v>0</v>
      </c>
      <c r="J69" s="22">
        <v>0</v>
      </c>
      <c r="K69" s="22"/>
      <c r="L69" s="34">
        <f t="shared" si="29"/>
        <v>0</v>
      </c>
      <c r="M69" s="34">
        <f t="shared" si="30"/>
        <v>0</v>
      </c>
      <c r="N69" s="22"/>
      <c r="O69" s="66"/>
      <c r="P69" s="66">
        <f t="shared" si="32"/>
        <v>0</v>
      </c>
      <c r="Q69" s="66">
        <f t="shared" si="33"/>
        <v>0</v>
      </c>
    </row>
    <row r="70" spans="1:17" ht="30" x14ac:dyDescent="0.25">
      <c r="A70" s="16" t="s">
        <v>99</v>
      </c>
      <c r="B70" s="49" t="s">
        <v>114</v>
      </c>
      <c r="C70" s="46">
        <v>63130</v>
      </c>
      <c r="D70" s="22">
        <v>498.3</v>
      </c>
      <c r="E70" s="22">
        <v>498.3</v>
      </c>
      <c r="F70" s="22">
        <v>0</v>
      </c>
      <c r="G70" s="22">
        <v>0</v>
      </c>
      <c r="H70" s="34">
        <f t="shared" si="26"/>
        <v>0</v>
      </c>
      <c r="I70" s="34">
        <f t="shared" si="27"/>
        <v>498.3</v>
      </c>
      <c r="J70" s="22">
        <v>182.3</v>
      </c>
      <c r="K70" s="22">
        <v>182.3</v>
      </c>
      <c r="L70" s="34">
        <f t="shared" si="29"/>
        <v>0</v>
      </c>
      <c r="M70" s="34">
        <f t="shared" si="30"/>
        <v>182.3</v>
      </c>
      <c r="N70" s="22">
        <v>0</v>
      </c>
      <c r="O70" s="66">
        <v>0</v>
      </c>
      <c r="P70" s="66">
        <f t="shared" si="32"/>
        <v>0</v>
      </c>
      <c r="Q70" s="66">
        <f t="shared" si="33"/>
        <v>0</v>
      </c>
    </row>
    <row r="71" spans="1:17" ht="60" x14ac:dyDescent="0.25">
      <c r="A71" s="16" t="s">
        <v>99</v>
      </c>
      <c r="B71" s="49" t="s">
        <v>115</v>
      </c>
      <c r="C71" s="52">
        <v>63360</v>
      </c>
      <c r="D71" s="22">
        <v>2673</v>
      </c>
      <c r="E71" s="22">
        <v>2673</v>
      </c>
      <c r="F71" s="22">
        <v>0</v>
      </c>
      <c r="G71" s="22">
        <v>0</v>
      </c>
      <c r="H71" s="34">
        <f t="shared" si="26"/>
        <v>0</v>
      </c>
      <c r="I71" s="34">
        <f t="shared" si="27"/>
        <v>2673</v>
      </c>
      <c r="J71" s="22">
        <v>0</v>
      </c>
      <c r="K71" s="22">
        <v>0</v>
      </c>
      <c r="L71" s="34">
        <f t="shared" si="29"/>
        <v>0</v>
      </c>
      <c r="M71" s="34">
        <f t="shared" si="30"/>
        <v>0</v>
      </c>
      <c r="N71" s="22">
        <v>0</v>
      </c>
      <c r="O71" s="66">
        <v>0</v>
      </c>
      <c r="P71" s="66">
        <f t="shared" si="32"/>
        <v>0</v>
      </c>
      <c r="Q71" s="66">
        <f t="shared" si="33"/>
        <v>0</v>
      </c>
    </row>
    <row r="72" spans="1:17" ht="93.75" customHeight="1" x14ac:dyDescent="0.25">
      <c r="A72" s="16" t="s">
        <v>116</v>
      </c>
      <c r="B72" s="49" t="s">
        <v>117</v>
      </c>
      <c r="C72" s="46">
        <v>63020</v>
      </c>
      <c r="D72" s="22">
        <v>167.1</v>
      </c>
      <c r="E72" s="22">
        <v>324.60000000000002</v>
      </c>
      <c r="F72" s="22">
        <v>0</v>
      </c>
      <c r="G72" s="22">
        <v>0</v>
      </c>
      <c r="H72" s="34">
        <f t="shared" si="26"/>
        <v>157.50000000000003</v>
      </c>
      <c r="I72" s="34">
        <f t="shared" si="27"/>
        <v>324.60000000000002</v>
      </c>
      <c r="J72" s="22">
        <v>167.1</v>
      </c>
      <c r="K72" s="22">
        <v>162.30000000000001</v>
      </c>
      <c r="L72" s="34">
        <f t="shared" si="29"/>
        <v>-4.7999999999999829</v>
      </c>
      <c r="M72" s="34">
        <f t="shared" si="30"/>
        <v>162.30000000000001</v>
      </c>
      <c r="N72" s="22">
        <v>0</v>
      </c>
      <c r="O72" s="66">
        <v>162.30000000000001</v>
      </c>
      <c r="P72" s="66">
        <f t="shared" si="32"/>
        <v>162.30000000000001</v>
      </c>
      <c r="Q72" s="66">
        <f t="shared" si="33"/>
        <v>162.30000000000001</v>
      </c>
    </row>
    <row r="73" spans="1:17" ht="30" x14ac:dyDescent="0.25">
      <c r="A73" s="16" t="s">
        <v>99</v>
      </c>
      <c r="B73" s="49" t="s">
        <v>118</v>
      </c>
      <c r="C73" s="46">
        <v>63030</v>
      </c>
      <c r="D73" s="22">
        <f>2500+2227.5</f>
        <v>4727.5</v>
      </c>
      <c r="E73" s="22">
        <v>6113.5</v>
      </c>
      <c r="F73" s="22">
        <v>0</v>
      </c>
      <c r="G73" s="22">
        <v>0</v>
      </c>
      <c r="H73" s="34">
        <f t="shared" si="26"/>
        <v>1386</v>
      </c>
      <c r="I73" s="34">
        <f t="shared" si="27"/>
        <v>6113.5</v>
      </c>
      <c r="J73" s="22">
        <v>12000</v>
      </c>
      <c r="K73" s="22">
        <v>13386</v>
      </c>
      <c r="L73" s="34">
        <f t="shared" si="29"/>
        <v>1386</v>
      </c>
      <c r="M73" s="34">
        <f t="shared" si="30"/>
        <v>13386</v>
      </c>
      <c r="N73" s="22">
        <v>13117</v>
      </c>
      <c r="O73" s="66">
        <v>14503</v>
      </c>
      <c r="P73" s="66">
        <f t="shared" si="32"/>
        <v>1386</v>
      </c>
      <c r="Q73" s="66">
        <f t="shared" si="33"/>
        <v>14503</v>
      </c>
    </row>
    <row r="74" spans="1:17" ht="30" x14ac:dyDescent="0.25">
      <c r="A74" s="16" t="s">
        <v>119</v>
      </c>
      <c r="B74" s="49" t="s">
        <v>118</v>
      </c>
      <c r="C74" s="42" t="s">
        <v>120</v>
      </c>
      <c r="D74" s="22">
        <v>2016</v>
      </c>
      <c r="E74" s="22">
        <v>2016</v>
      </c>
      <c r="F74" s="22">
        <v>0</v>
      </c>
      <c r="G74" s="22">
        <v>0</v>
      </c>
      <c r="H74" s="34">
        <f t="shared" si="26"/>
        <v>0</v>
      </c>
      <c r="I74" s="34">
        <f t="shared" si="27"/>
        <v>2016</v>
      </c>
      <c r="J74" s="22">
        <v>1740</v>
      </c>
      <c r="K74" s="22">
        <v>1740</v>
      </c>
      <c r="L74" s="34">
        <f t="shared" si="29"/>
        <v>0</v>
      </c>
      <c r="M74" s="34">
        <f t="shared" si="30"/>
        <v>1740</v>
      </c>
      <c r="N74" s="22">
        <v>1740</v>
      </c>
      <c r="O74" s="66">
        <v>1740</v>
      </c>
      <c r="P74" s="66">
        <f t="shared" si="32"/>
        <v>0</v>
      </c>
      <c r="Q74" s="66">
        <f t="shared" si="33"/>
        <v>1740</v>
      </c>
    </row>
    <row r="75" spans="1:17" ht="30" x14ac:dyDescent="0.25">
      <c r="A75" s="16" t="s">
        <v>99</v>
      </c>
      <c r="B75" s="49" t="s">
        <v>121</v>
      </c>
      <c r="C75" s="46">
        <v>63160</v>
      </c>
      <c r="D75" s="22">
        <v>1554.1</v>
      </c>
      <c r="E75" s="22">
        <v>1883</v>
      </c>
      <c r="F75" s="22">
        <v>0</v>
      </c>
      <c r="G75" s="22">
        <v>0</v>
      </c>
      <c r="H75" s="34">
        <f t="shared" si="26"/>
        <v>328.90000000000009</v>
      </c>
      <c r="I75" s="34">
        <f t="shared" si="27"/>
        <v>1883</v>
      </c>
      <c r="J75" s="22">
        <v>1554.1</v>
      </c>
      <c r="K75" s="22">
        <v>2229.8000000000002</v>
      </c>
      <c r="L75" s="34">
        <f t="shared" si="29"/>
        <v>675.70000000000027</v>
      </c>
      <c r="M75" s="34">
        <f t="shared" si="30"/>
        <v>2229.8000000000002</v>
      </c>
      <c r="N75" s="22">
        <v>0</v>
      </c>
      <c r="O75" s="66">
        <v>2577</v>
      </c>
      <c r="P75" s="66">
        <f t="shared" si="32"/>
        <v>2577</v>
      </c>
      <c r="Q75" s="66">
        <f t="shared" si="33"/>
        <v>2577</v>
      </c>
    </row>
    <row r="76" spans="1:17" ht="45.75" customHeight="1" x14ac:dyDescent="0.25">
      <c r="A76" s="16" t="s">
        <v>99</v>
      </c>
      <c r="B76" s="49" t="s">
        <v>122</v>
      </c>
      <c r="C76" s="46">
        <v>63280</v>
      </c>
      <c r="D76" s="22">
        <v>0</v>
      </c>
      <c r="E76" s="22">
        <v>0</v>
      </c>
      <c r="F76" s="22">
        <v>4439.3999999999996</v>
      </c>
      <c r="G76" s="22">
        <v>0</v>
      </c>
      <c r="H76" s="34">
        <f t="shared" si="26"/>
        <v>4439.3999999999996</v>
      </c>
      <c r="I76" s="34">
        <f t="shared" si="27"/>
        <v>4439.3999999999996</v>
      </c>
      <c r="J76" s="22">
        <v>0</v>
      </c>
      <c r="K76" s="22">
        <v>0</v>
      </c>
      <c r="L76" s="34">
        <f t="shared" si="29"/>
        <v>0</v>
      </c>
      <c r="M76" s="34">
        <f t="shared" si="30"/>
        <v>0</v>
      </c>
      <c r="N76" s="22">
        <v>0</v>
      </c>
      <c r="O76" s="66">
        <v>0</v>
      </c>
      <c r="P76" s="66">
        <f t="shared" si="32"/>
        <v>0</v>
      </c>
      <c r="Q76" s="66">
        <f t="shared" si="33"/>
        <v>0</v>
      </c>
    </row>
    <row r="77" spans="1:17" ht="47.25" customHeight="1" x14ac:dyDescent="0.25">
      <c r="A77" s="16" t="s">
        <v>123</v>
      </c>
      <c r="B77" s="53" t="s">
        <v>124</v>
      </c>
      <c r="C77" s="54">
        <v>63500</v>
      </c>
      <c r="D77" s="22">
        <f>174816.9+88767.9+100000+368691.3+100000</f>
        <v>832276.1</v>
      </c>
      <c r="E77" s="22">
        <v>463584.8</v>
      </c>
      <c r="F77" s="22">
        <v>0</v>
      </c>
      <c r="G77" s="22">
        <v>0</v>
      </c>
      <c r="H77" s="34">
        <f t="shared" si="26"/>
        <v>-368691.3</v>
      </c>
      <c r="I77" s="34">
        <f t="shared" si="27"/>
        <v>463584.8</v>
      </c>
      <c r="J77" s="22">
        <v>201566.7</v>
      </c>
      <c r="K77" s="22">
        <v>201566.7</v>
      </c>
      <c r="L77" s="34">
        <f t="shared" si="29"/>
        <v>0</v>
      </c>
      <c r="M77" s="34">
        <f t="shared" si="30"/>
        <v>201566.7</v>
      </c>
      <c r="N77" s="22">
        <v>199719</v>
      </c>
      <c r="O77" s="66">
        <v>199719</v>
      </c>
      <c r="P77" s="66">
        <f t="shared" si="32"/>
        <v>0</v>
      </c>
      <c r="Q77" s="66">
        <f t="shared" si="33"/>
        <v>199719</v>
      </c>
    </row>
    <row r="78" spans="1:17" ht="65.25" customHeight="1" x14ac:dyDescent="0.25">
      <c r="A78" s="16" t="s">
        <v>198</v>
      </c>
      <c r="B78" s="53" t="s">
        <v>199</v>
      </c>
      <c r="C78" s="54">
        <v>55200</v>
      </c>
      <c r="D78" s="22">
        <v>0</v>
      </c>
      <c r="E78" s="22">
        <f>478819.9+44362.4</f>
        <v>523182.30000000005</v>
      </c>
      <c r="F78" s="22">
        <v>0</v>
      </c>
      <c r="G78" s="22">
        <v>0</v>
      </c>
      <c r="H78" s="34">
        <f t="shared" si="26"/>
        <v>523182.30000000005</v>
      </c>
      <c r="I78" s="34">
        <f t="shared" si="27"/>
        <v>523182.30000000005</v>
      </c>
      <c r="J78" s="22">
        <v>0</v>
      </c>
      <c r="K78" s="22">
        <v>0</v>
      </c>
      <c r="L78" s="34">
        <f t="shared" si="29"/>
        <v>0</v>
      </c>
      <c r="M78" s="34">
        <f t="shared" si="30"/>
        <v>0</v>
      </c>
      <c r="N78" s="22">
        <v>0</v>
      </c>
      <c r="O78" s="66">
        <v>0</v>
      </c>
      <c r="P78" s="66">
        <f t="shared" si="32"/>
        <v>0</v>
      </c>
      <c r="Q78" s="66">
        <f t="shared" si="33"/>
        <v>0</v>
      </c>
    </row>
    <row r="79" spans="1:17" ht="45" x14ac:dyDescent="0.25">
      <c r="A79" s="16" t="s">
        <v>99</v>
      </c>
      <c r="B79" s="53" t="s">
        <v>125</v>
      </c>
      <c r="C79" s="46">
        <v>63060</v>
      </c>
      <c r="D79" s="22">
        <f>1486.5+33535.3+6000</f>
        <v>41021.800000000003</v>
      </c>
      <c r="E79" s="22">
        <v>41021.800000000003</v>
      </c>
      <c r="F79" s="22">
        <v>0</v>
      </c>
      <c r="G79" s="22">
        <v>0</v>
      </c>
      <c r="H79" s="34">
        <f t="shared" si="26"/>
        <v>0</v>
      </c>
      <c r="I79" s="34">
        <f t="shared" si="27"/>
        <v>41021.800000000003</v>
      </c>
      <c r="J79" s="22">
        <f>1698.8+33535.3+6000</f>
        <v>41234.100000000006</v>
      </c>
      <c r="K79" s="22">
        <v>41234.1</v>
      </c>
      <c r="L79" s="34">
        <f t="shared" si="29"/>
        <v>0</v>
      </c>
      <c r="M79" s="34">
        <f t="shared" si="30"/>
        <v>41234.100000000006</v>
      </c>
      <c r="N79" s="22">
        <v>33535.300000000003</v>
      </c>
      <c r="O79" s="66">
        <v>39535.300000000003</v>
      </c>
      <c r="P79" s="66">
        <f t="shared" si="32"/>
        <v>6000</v>
      </c>
      <c r="Q79" s="66">
        <f t="shared" si="33"/>
        <v>39535.300000000003</v>
      </c>
    </row>
    <row r="80" spans="1:17" ht="30" x14ac:dyDescent="0.25">
      <c r="A80" s="14" t="s">
        <v>126</v>
      </c>
      <c r="B80" s="47" t="s">
        <v>127</v>
      </c>
      <c r="C80" s="42"/>
      <c r="D80" s="19">
        <f>SUM(D81:D98)</f>
        <v>89905.599999999977</v>
      </c>
      <c r="E80" s="19">
        <f>SUM(E81:E98)</f>
        <v>100031.49999999999</v>
      </c>
      <c r="F80" s="19">
        <f>SUM(F81:F98)</f>
        <v>0</v>
      </c>
      <c r="G80" s="19">
        <v>0</v>
      </c>
      <c r="H80" s="34">
        <f t="shared" si="26"/>
        <v>10125.900000000009</v>
      </c>
      <c r="I80" s="34">
        <f t="shared" si="27"/>
        <v>100031.49999999999</v>
      </c>
      <c r="J80" s="19">
        <f>SUM(J81:J98)</f>
        <v>101876</v>
      </c>
      <c r="K80" s="19">
        <f t="shared" ref="K80" si="39">SUM(K81:K98)</f>
        <v>121397.5</v>
      </c>
      <c r="L80" s="34">
        <f t="shared" si="29"/>
        <v>19521.5</v>
      </c>
      <c r="M80" s="34">
        <f t="shared" si="30"/>
        <v>121397.5</v>
      </c>
      <c r="N80" s="19">
        <f>SUM(N81:N98)</f>
        <v>102035.9</v>
      </c>
      <c r="O80" s="19">
        <f t="shared" ref="O80" si="40">SUM(O81:O98)</f>
        <v>131960.70000000001</v>
      </c>
      <c r="P80" s="66">
        <f t="shared" si="32"/>
        <v>29924.800000000017</v>
      </c>
      <c r="Q80" s="66">
        <f t="shared" si="33"/>
        <v>131960.70000000001</v>
      </c>
    </row>
    <row r="81" spans="1:17" ht="77.25" customHeight="1" x14ac:dyDescent="0.25">
      <c r="A81" s="55" t="s">
        <v>128</v>
      </c>
      <c r="B81" s="56" t="s">
        <v>129</v>
      </c>
      <c r="C81" s="57" t="s">
        <v>187</v>
      </c>
      <c r="D81" s="22">
        <v>1110.5</v>
      </c>
      <c r="E81" s="22">
        <f>45.6+897.8</f>
        <v>943.4</v>
      </c>
      <c r="F81" s="22">
        <v>0</v>
      </c>
      <c r="G81" s="22">
        <v>0</v>
      </c>
      <c r="H81" s="34">
        <f t="shared" si="26"/>
        <v>-167.10000000000002</v>
      </c>
      <c r="I81" s="34">
        <f t="shared" si="27"/>
        <v>943.4</v>
      </c>
      <c r="J81" s="22">
        <v>1112.3</v>
      </c>
      <c r="K81" s="22">
        <f>47.4+897.8</f>
        <v>945.19999999999993</v>
      </c>
      <c r="L81" s="34">
        <f t="shared" si="29"/>
        <v>-167.10000000000002</v>
      </c>
      <c r="M81" s="34">
        <f t="shared" si="30"/>
        <v>945.19999999999993</v>
      </c>
      <c r="N81" s="22">
        <v>1112.3</v>
      </c>
      <c r="O81" s="66">
        <f>49.3+897.8</f>
        <v>947.09999999999991</v>
      </c>
      <c r="P81" s="66">
        <f t="shared" si="32"/>
        <v>-165.20000000000005</v>
      </c>
      <c r="Q81" s="66">
        <f t="shared" si="33"/>
        <v>947.09999999999991</v>
      </c>
    </row>
    <row r="82" spans="1:17" ht="77.25" customHeight="1" x14ac:dyDescent="0.25">
      <c r="A82" s="55" t="s">
        <v>130</v>
      </c>
      <c r="B82" s="56" t="s">
        <v>131</v>
      </c>
      <c r="C82" s="54">
        <v>62500</v>
      </c>
      <c r="D82" s="22">
        <v>7407.8</v>
      </c>
      <c r="E82" s="22">
        <v>7123.9</v>
      </c>
      <c r="F82" s="22">
        <v>0</v>
      </c>
      <c r="G82" s="22">
        <v>0</v>
      </c>
      <c r="H82" s="34">
        <f t="shared" si="26"/>
        <v>-283.90000000000055</v>
      </c>
      <c r="I82" s="34">
        <f t="shared" si="27"/>
        <v>7123.9</v>
      </c>
      <c r="J82" s="22">
        <v>7407.8</v>
      </c>
      <c r="K82" s="22">
        <v>9498.5</v>
      </c>
      <c r="L82" s="34">
        <f t="shared" si="29"/>
        <v>2090.6999999999998</v>
      </c>
      <c r="M82" s="34">
        <f t="shared" si="30"/>
        <v>9498.5</v>
      </c>
      <c r="N82" s="22">
        <v>7407.8</v>
      </c>
      <c r="O82" s="66">
        <v>9498.5</v>
      </c>
      <c r="P82" s="66">
        <f t="shared" si="32"/>
        <v>2090.6999999999998</v>
      </c>
      <c r="Q82" s="66">
        <f t="shared" si="33"/>
        <v>9498.5</v>
      </c>
    </row>
    <row r="83" spans="1:17" ht="65.25" customHeight="1" x14ac:dyDescent="0.25">
      <c r="A83" s="55" t="s">
        <v>132</v>
      </c>
      <c r="B83" s="49" t="s">
        <v>133</v>
      </c>
      <c r="C83" s="54">
        <v>51200</v>
      </c>
      <c r="D83" s="22">
        <v>58.3</v>
      </c>
      <c r="E83" s="22">
        <v>75.8</v>
      </c>
      <c r="F83" s="22">
        <v>0</v>
      </c>
      <c r="G83" s="22">
        <v>0</v>
      </c>
      <c r="H83" s="34">
        <f t="shared" si="26"/>
        <v>17.5</v>
      </c>
      <c r="I83" s="34">
        <f t="shared" si="27"/>
        <v>75.8</v>
      </c>
      <c r="J83" s="22">
        <v>3.1</v>
      </c>
      <c r="K83" s="22">
        <v>2.7</v>
      </c>
      <c r="L83" s="34">
        <f t="shared" si="29"/>
        <v>-0.39999999999999991</v>
      </c>
      <c r="M83" s="34">
        <f t="shared" si="30"/>
        <v>2.7</v>
      </c>
      <c r="N83" s="22">
        <v>3.1</v>
      </c>
      <c r="O83" s="66">
        <v>2.4</v>
      </c>
      <c r="P83" s="66">
        <f t="shared" si="32"/>
        <v>-0.70000000000000018</v>
      </c>
      <c r="Q83" s="66">
        <f t="shared" si="33"/>
        <v>2.4</v>
      </c>
    </row>
    <row r="84" spans="1:17" ht="123" customHeight="1" x14ac:dyDescent="0.25">
      <c r="A84" s="14" t="s">
        <v>134</v>
      </c>
      <c r="B84" s="56" t="s">
        <v>135</v>
      </c>
      <c r="C84" s="46">
        <v>71901</v>
      </c>
      <c r="D84" s="22">
        <v>218.2</v>
      </c>
      <c r="E84" s="22">
        <v>218.2</v>
      </c>
      <c r="F84" s="22">
        <v>0</v>
      </c>
      <c r="G84" s="22">
        <v>0</v>
      </c>
      <c r="H84" s="34">
        <f t="shared" ref="H84:H105" si="41">(E84+F84)-D84</f>
        <v>0</v>
      </c>
      <c r="I84" s="34">
        <f t="shared" ref="I84:I112" si="42">D84+H84</f>
        <v>218.2</v>
      </c>
      <c r="J84" s="22">
        <v>218.2</v>
      </c>
      <c r="K84" s="22">
        <v>218.2</v>
      </c>
      <c r="L84" s="34">
        <f t="shared" si="29"/>
        <v>0</v>
      </c>
      <c r="M84" s="34">
        <f t="shared" si="30"/>
        <v>218.2</v>
      </c>
      <c r="N84" s="22">
        <v>218.2</v>
      </c>
      <c r="O84" s="66">
        <v>218.2</v>
      </c>
      <c r="P84" s="66">
        <f t="shared" si="32"/>
        <v>0</v>
      </c>
      <c r="Q84" s="66">
        <f t="shared" si="33"/>
        <v>218.2</v>
      </c>
    </row>
    <row r="85" spans="1:17" ht="135" x14ac:dyDescent="0.25">
      <c r="A85" s="14" t="s">
        <v>134</v>
      </c>
      <c r="B85" s="49" t="s">
        <v>136</v>
      </c>
      <c r="C85" s="46">
        <v>70901</v>
      </c>
      <c r="D85" s="22">
        <f>14103.9+913.3</f>
        <v>15017.199999999999</v>
      </c>
      <c r="E85" s="22">
        <v>11225</v>
      </c>
      <c r="F85" s="22">
        <v>0</v>
      </c>
      <c r="G85" s="22">
        <v>0</v>
      </c>
      <c r="H85" s="34">
        <f t="shared" si="41"/>
        <v>-3792.1999999999989</v>
      </c>
      <c r="I85" s="34">
        <f t="shared" si="42"/>
        <v>11225</v>
      </c>
      <c r="J85" s="22">
        <f>14103.9+949.2</f>
        <v>15053.1</v>
      </c>
      <c r="K85" s="22">
        <v>15044.3</v>
      </c>
      <c r="L85" s="34">
        <f t="shared" si="29"/>
        <v>-8.8000000000010914</v>
      </c>
      <c r="M85" s="34">
        <f t="shared" si="30"/>
        <v>15044.3</v>
      </c>
      <c r="N85" s="22">
        <f>14103.9+981</f>
        <v>15084.9</v>
      </c>
      <c r="O85" s="66">
        <v>15436.6</v>
      </c>
      <c r="P85" s="66">
        <f t="shared" si="32"/>
        <v>351.70000000000073</v>
      </c>
      <c r="Q85" s="66">
        <f t="shared" si="33"/>
        <v>15436.6</v>
      </c>
    </row>
    <row r="86" spans="1:17" ht="45" x14ac:dyDescent="0.25">
      <c r="A86" s="14" t="s">
        <v>134</v>
      </c>
      <c r="B86" s="56" t="s">
        <v>137</v>
      </c>
      <c r="C86" s="46">
        <v>62010</v>
      </c>
      <c r="D86" s="22">
        <v>1350.3</v>
      </c>
      <c r="E86" s="22">
        <v>1350.3</v>
      </c>
      <c r="F86" s="22">
        <v>0</v>
      </c>
      <c r="G86" s="22">
        <v>0</v>
      </c>
      <c r="H86" s="34">
        <f t="shared" si="41"/>
        <v>0</v>
      </c>
      <c r="I86" s="34">
        <f t="shared" si="42"/>
        <v>1350.3</v>
      </c>
      <c r="J86" s="22">
        <v>1404.5</v>
      </c>
      <c r="K86" s="22">
        <v>1404.5</v>
      </c>
      <c r="L86" s="34">
        <f t="shared" si="29"/>
        <v>0</v>
      </c>
      <c r="M86" s="34">
        <f t="shared" si="30"/>
        <v>1404.5</v>
      </c>
      <c r="N86" s="22">
        <v>1460.7</v>
      </c>
      <c r="O86" s="66">
        <v>1460.7</v>
      </c>
      <c r="P86" s="66">
        <f t="shared" si="32"/>
        <v>0</v>
      </c>
      <c r="Q86" s="66">
        <f t="shared" si="33"/>
        <v>1460.7</v>
      </c>
    </row>
    <row r="87" spans="1:17" ht="127.5" customHeight="1" x14ac:dyDescent="0.25">
      <c r="A87" s="14" t="s">
        <v>134</v>
      </c>
      <c r="B87" s="56" t="s">
        <v>138</v>
      </c>
      <c r="C87" s="46">
        <v>62080</v>
      </c>
      <c r="D87" s="22">
        <v>1346.6</v>
      </c>
      <c r="E87" s="22">
        <v>1346.6</v>
      </c>
      <c r="F87" s="22">
        <v>0</v>
      </c>
      <c r="G87" s="22">
        <v>0</v>
      </c>
      <c r="H87" s="34">
        <f t="shared" si="41"/>
        <v>0</v>
      </c>
      <c r="I87" s="34">
        <f t="shared" si="42"/>
        <v>1346.6</v>
      </c>
      <c r="J87" s="22">
        <v>1400.4</v>
      </c>
      <c r="K87" s="22">
        <v>1400.4</v>
      </c>
      <c r="L87" s="34">
        <f t="shared" si="29"/>
        <v>0</v>
      </c>
      <c r="M87" s="34">
        <f t="shared" si="30"/>
        <v>1400.4</v>
      </c>
      <c r="N87" s="22">
        <v>1400.4</v>
      </c>
      <c r="O87" s="66">
        <v>1456.7</v>
      </c>
      <c r="P87" s="66">
        <f t="shared" si="32"/>
        <v>56.299999999999955</v>
      </c>
      <c r="Q87" s="66">
        <f t="shared" si="33"/>
        <v>1456.7</v>
      </c>
    </row>
    <row r="88" spans="1:17" ht="111" customHeight="1" x14ac:dyDescent="0.25">
      <c r="A88" s="14" t="s">
        <v>134</v>
      </c>
      <c r="B88" s="56" t="s">
        <v>139</v>
      </c>
      <c r="C88" s="46">
        <v>62090</v>
      </c>
      <c r="D88" s="22">
        <v>2219.6</v>
      </c>
      <c r="E88" s="22">
        <v>2219.6</v>
      </c>
      <c r="F88" s="22">
        <v>0</v>
      </c>
      <c r="G88" s="22">
        <v>0</v>
      </c>
      <c r="H88" s="34">
        <f t="shared" si="41"/>
        <v>0</v>
      </c>
      <c r="I88" s="34">
        <f t="shared" si="42"/>
        <v>2219.6</v>
      </c>
      <c r="J88" s="22">
        <v>2308.4</v>
      </c>
      <c r="K88" s="22">
        <v>2308.4</v>
      </c>
      <c r="L88" s="34">
        <f t="shared" si="29"/>
        <v>0</v>
      </c>
      <c r="M88" s="34">
        <f t="shared" si="30"/>
        <v>2308.4</v>
      </c>
      <c r="N88" s="22">
        <v>2308.4</v>
      </c>
      <c r="O88" s="66">
        <v>2400.6999999999998</v>
      </c>
      <c r="P88" s="66">
        <f t="shared" si="32"/>
        <v>92.299999999999727</v>
      </c>
      <c r="Q88" s="66">
        <f t="shared" si="33"/>
        <v>2400.6999999999998</v>
      </c>
    </row>
    <row r="89" spans="1:17" ht="64.5" customHeight="1" x14ac:dyDescent="0.25">
      <c r="A89" s="14" t="s">
        <v>134</v>
      </c>
      <c r="B89" s="49" t="s">
        <v>140</v>
      </c>
      <c r="C89" s="46">
        <v>62100</v>
      </c>
      <c r="D89" s="22">
        <v>1438.8</v>
      </c>
      <c r="E89" s="22">
        <v>1404.5</v>
      </c>
      <c r="F89" s="22">
        <v>0</v>
      </c>
      <c r="G89" s="22">
        <v>0</v>
      </c>
      <c r="H89" s="34">
        <f t="shared" si="41"/>
        <v>-34.299999999999955</v>
      </c>
      <c r="I89" s="34">
        <f t="shared" si="42"/>
        <v>1404.5</v>
      </c>
      <c r="J89" s="22">
        <v>1496.4</v>
      </c>
      <c r="K89" s="22">
        <v>1460.4</v>
      </c>
      <c r="L89" s="34">
        <f t="shared" si="29"/>
        <v>-36</v>
      </c>
      <c r="M89" s="34">
        <f t="shared" si="30"/>
        <v>1460.4</v>
      </c>
      <c r="N89" s="22">
        <v>1496.4</v>
      </c>
      <c r="O89" s="66">
        <v>1518.9</v>
      </c>
      <c r="P89" s="66">
        <f t="shared" si="32"/>
        <v>22.5</v>
      </c>
      <c r="Q89" s="66">
        <f t="shared" si="33"/>
        <v>1518.9</v>
      </c>
    </row>
    <row r="90" spans="1:17" ht="150" x14ac:dyDescent="0.25">
      <c r="A90" s="14" t="s">
        <v>134</v>
      </c>
      <c r="B90" s="49" t="s">
        <v>141</v>
      </c>
      <c r="C90" s="46">
        <v>62180</v>
      </c>
      <c r="D90" s="22">
        <v>975.7</v>
      </c>
      <c r="E90" s="22">
        <v>975.7</v>
      </c>
      <c r="F90" s="22">
        <v>0</v>
      </c>
      <c r="G90" s="22">
        <v>0</v>
      </c>
      <c r="H90" s="34">
        <f t="shared" si="41"/>
        <v>0</v>
      </c>
      <c r="I90" s="34">
        <f t="shared" si="42"/>
        <v>975.7</v>
      </c>
      <c r="J90" s="22">
        <v>0</v>
      </c>
      <c r="K90" s="22">
        <v>278.8</v>
      </c>
      <c r="L90" s="34">
        <f t="shared" si="29"/>
        <v>278.8</v>
      </c>
      <c r="M90" s="34">
        <f t="shared" si="30"/>
        <v>278.8</v>
      </c>
      <c r="N90" s="22">
        <v>0</v>
      </c>
      <c r="O90" s="66">
        <v>278.8</v>
      </c>
      <c r="P90" s="66">
        <f t="shared" si="32"/>
        <v>278.8</v>
      </c>
      <c r="Q90" s="66">
        <f t="shared" si="33"/>
        <v>278.8</v>
      </c>
    </row>
    <row r="91" spans="1:17" ht="135" x14ac:dyDescent="0.25">
      <c r="A91" s="14" t="s">
        <v>134</v>
      </c>
      <c r="B91" s="49" t="s">
        <v>142</v>
      </c>
      <c r="C91" s="46">
        <v>62200</v>
      </c>
      <c r="D91" s="22">
        <v>751.4</v>
      </c>
      <c r="E91" s="22">
        <v>751.4</v>
      </c>
      <c r="F91" s="22">
        <v>0</v>
      </c>
      <c r="G91" s="22">
        <v>0</v>
      </c>
      <c r="H91" s="34">
        <f t="shared" si="41"/>
        <v>0</v>
      </c>
      <c r="I91" s="34">
        <f t="shared" si="42"/>
        <v>751.4</v>
      </c>
      <c r="J91" s="22">
        <v>751.4</v>
      </c>
      <c r="K91" s="22">
        <v>751.4</v>
      </c>
      <c r="L91" s="34">
        <f t="shared" si="29"/>
        <v>0</v>
      </c>
      <c r="M91" s="34">
        <f t="shared" si="30"/>
        <v>751.4</v>
      </c>
      <c r="N91" s="22">
        <v>751.4</v>
      </c>
      <c r="O91" s="66">
        <v>751.4</v>
      </c>
      <c r="P91" s="66">
        <f t="shared" si="32"/>
        <v>0</v>
      </c>
      <c r="Q91" s="66">
        <f t="shared" si="33"/>
        <v>751.4</v>
      </c>
    </row>
    <row r="92" spans="1:17" ht="107.25" customHeight="1" x14ac:dyDescent="0.25">
      <c r="A92" s="14" t="s">
        <v>134</v>
      </c>
      <c r="B92" s="49" t="s">
        <v>143</v>
      </c>
      <c r="C92" s="46">
        <v>62600</v>
      </c>
      <c r="D92" s="22">
        <f>9136.2-1255.9</f>
        <v>7880.3000000000011</v>
      </c>
      <c r="E92" s="22">
        <f>5517.2+100+495.9+480+1804.1</f>
        <v>8397.1999999999989</v>
      </c>
      <c r="F92" s="22">
        <v>0</v>
      </c>
      <c r="G92" s="22">
        <v>0</v>
      </c>
      <c r="H92" s="34">
        <f t="shared" si="41"/>
        <v>516.89999999999782</v>
      </c>
      <c r="I92" s="34">
        <f t="shared" si="42"/>
        <v>8397.1999999999989</v>
      </c>
      <c r="J92" s="22">
        <f>9479.6-1306.2</f>
        <v>8173.4000000000005</v>
      </c>
      <c r="K92" s="22">
        <f>5738+100+495.9+640+1876.3</f>
        <v>8850.1999999999989</v>
      </c>
      <c r="L92" s="34">
        <f t="shared" si="29"/>
        <v>676.79999999999836</v>
      </c>
      <c r="M92" s="34">
        <f t="shared" si="30"/>
        <v>8850.1999999999989</v>
      </c>
      <c r="N92" s="22">
        <f>9479.6-1306.2</f>
        <v>8173.4000000000005</v>
      </c>
      <c r="O92" s="66">
        <f>5968.1+100+495.9+960+1951.6</f>
        <v>9475.6</v>
      </c>
      <c r="P92" s="66">
        <f t="shared" si="32"/>
        <v>1302.1999999999998</v>
      </c>
      <c r="Q92" s="66">
        <f t="shared" si="33"/>
        <v>9475.6</v>
      </c>
    </row>
    <row r="93" spans="1:17" ht="108.75" customHeight="1" x14ac:dyDescent="0.25">
      <c r="A93" s="14" t="s">
        <v>144</v>
      </c>
      <c r="B93" s="49" t="s">
        <v>145</v>
      </c>
      <c r="C93" s="46">
        <v>62600</v>
      </c>
      <c r="D93" s="22">
        <v>21469.599999999999</v>
      </c>
      <c r="E93" s="22">
        <v>23901.1</v>
      </c>
      <c r="F93" s="22">
        <v>0</v>
      </c>
      <c r="G93" s="22">
        <v>0</v>
      </c>
      <c r="H93" s="34">
        <f t="shared" si="41"/>
        <v>2431.5</v>
      </c>
      <c r="I93" s="34">
        <f t="shared" si="42"/>
        <v>23901.1</v>
      </c>
      <c r="J93" s="22">
        <v>31921.200000000001</v>
      </c>
      <c r="K93" s="22">
        <v>33240.5</v>
      </c>
      <c r="L93" s="34">
        <f t="shared" si="29"/>
        <v>1319.2999999999993</v>
      </c>
      <c r="M93" s="34">
        <f t="shared" si="30"/>
        <v>33240.5</v>
      </c>
      <c r="N93" s="22">
        <v>31921.200000000001</v>
      </c>
      <c r="O93" s="66">
        <v>33818.1</v>
      </c>
      <c r="P93" s="66">
        <f t="shared" si="32"/>
        <v>1896.8999999999978</v>
      </c>
      <c r="Q93" s="66">
        <f t="shared" si="33"/>
        <v>33818.1</v>
      </c>
    </row>
    <row r="94" spans="1:17" ht="76.5" customHeight="1" x14ac:dyDescent="0.25">
      <c r="A94" s="14" t="s">
        <v>146</v>
      </c>
      <c r="B94" s="49" t="s">
        <v>147</v>
      </c>
      <c r="C94" s="46">
        <v>62600</v>
      </c>
      <c r="D94" s="22">
        <v>9000</v>
      </c>
      <c r="E94" s="22">
        <v>16200</v>
      </c>
      <c r="F94" s="22">
        <v>0</v>
      </c>
      <c r="G94" s="22">
        <v>0</v>
      </c>
      <c r="H94" s="34">
        <f t="shared" si="41"/>
        <v>7200</v>
      </c>
      <c r="I94" s="34">
        <f t="shared" si="42"/>
        <v>16200</v>
      </c>
      <c r="J94" s="22">
        <v>9000</v>
      </c>
      <c r="K94" s="22">
        <v>21600</v>
      </c>
      <c r="L94" s="34">
        <f t="shared" si="29"/>
        <v>12600</v>
      </c>
      <c r="M94" s="34">
        <f t="shared" si="30"/>
        <v>21600</v>
      </c>
      <c r="N94" s="22">
        <v>9000</v>
      </c>
      <c r="O94" s="66">
        <v>32400</v>
      </c>
      <c r="P94" s="66">
        <f t="shared" si="32"/>
        <v>23400</v>
      </c>
      <c r="Q94" s="66">
        <f t="shared" si="33"/>
        <v>32400</v>
      </c>
    </row>
    <row r="95" spans="1:17" ht="90.75" customHeight="1" x14ac:dyDescent="0.25">
      <c r="A95" s="14" t="s">
        <v>134</v>
      </c>
      <c r="B95" s="49" t="s">
        <v>148</v>
      </c>
      <c r="C95" s="46">
        <v>62210</v>
      </c>
      <c r="D95" s="22">
        <v>1729.3</v>
      </c>
      <c r="E95" s="22">
        <v>1729.3</v>
      </c>
      <c r="F95" s="22">
        <v>0</v>
      </c>
      <c r="G95" s="22">
        <v>0</v>
      </c>
      <c r="H95" s="34">
        <f t="shared" si="41"/>
        <v>0</v>
      </c>
      <c r="I95" s="34">
        <f t="shared" si="42"/>
        <v>1729.3</v>
      </c>
      <c r="J95" s="22">
        <v>1798.5</v>
      </c>
      <c r="K95" s="22">
        <v>1798.5</v>
      </c>
      <c r="L95" s="34">
        <f t="shared" si="29"/>
        <v>0</v>
      </c>
      <c r="M95" s="34">
        <f t="shared" si="30"/>
        <v>1798.5</v>
      </c>
      <c r="N95" s="22">
        <v>1870.4</v>
      </c>
      <c r="O95" s="66">
        <v>1870.4</v>
      </c>
      <c r="P95" s="66">
        <f t="shared" si="32"/>
        <v>0</v>
      </c>
      <c r="Q95" s="66">
        <f t="shared" si="33"/>
        <v>1870.4</v>
      </c>
    </row>
    <row r="96" spans="1:17" ht="75" x14ac:dyDescent="0.25">
      <c r="A96" s="14" t="s">
        <v>134</v>
      </c>
      <c r="B96" s="56" t="s">
        <v>149</v>
      </c>
      <c r="C96" s="46">
        <v>62190</v>
      </c>
      <c r="D96" s="22">
        <v>3983.9</v>
      </c>
      <c r="E96" s="22">
        <v>7702.7</v>
      </c>
      <c r="F96" s="22">
        <v>0</v>
      </c>
      <c r="G96" s="22">
        <v>0</v>
      </c>
      <c r="H96" s="34">
        <f t="shared" si="41"/>
        <v>3718.7999999999997</v>
      </c>
      <c r="I96" s="34">
        <f t="shared" si="42"/>
        <v>7702.7</v>
      </c>
      <c r="J96" s="22">
        <v>5529.9</v>
      </c>
      <c r="K96" s="22">
        <v>7982.3</v>
      </c>
      <c r="L96" s="34">
        <f t="shared" si="29"/>
        <v>2452.4000000000005</v>
      </c>
      <c r="M96" s="34">
        <f t="shared" si="30"/>
        <v>7982.3</v>
      </c>
      <c r="N96" s="22">
        <v>5529.9</v>
      </c>
      <c r="O96" s="66">
        <v>5347.4</v>
      </c>
      <c r="P96" s="66">
        <f t="shared" si="32"/>
        <v>-182.5</v>
      </c>
      <c r="Q96" s="66">
        <f t="shared" si="33"/>
        <v>5347.4</v>
      </c>
    </row>
    <row r="97" spans="1:17" ht="78.75" customHeight="1" x14ac:dyDescent="0.25">
      <c r="A97" s="14" t="s">
        <v>150</v>
      </c>
      <c r="B97" s="56" t="s">
        <v>149</v>
      </c>
      <c r="C97" s="42" t="s">
        <v>151</v>
      </c>
      <c r="D97" s="22">
        <v>8611.7000000000007</v>
      </c>
      <c r="E97" s="22">
        <v>9637.4</v>
      </c>
      <c r="F97" s="22">
        <v>0</v>
      </c>
      <c r="G97" s="22">
        <v>0</v>
      </c>
      <c r="H97" s="34">
        <f t="shared" si="41"/>
        <v>1025.6999999999989</v>
      </c>
      <c r="I97" s="34">
        <f t="shared" si="42"/>
        <v>9637.4</v>
      </c>
      <c r="J97" s="22">
        <v>8747.7000000000007</v>
      </c>
      <c r="K97" s="22">
        <v>9590.7999999999993</v>
      </c>
      <c r="L97" s="34">
        <f t="shared" si="29"/>
        <v>843.09999999999854</v>
      </c>
      <c r="M97" s="34">
        <f t="shared" si="30"/>
        <v>9590.7999999999993</v>
      </c>
      <c r="N97" s="22">
        <v>8747.7000000000007</v>
      </c>
      <c r="O97" s="66">
        <v>9855.7999999999993</v>
      </c>
      <c r="P97" s="66">
        <f t="shared" si="32"/>
        <v>1108.0999999999985</v>
      </c>
      <c r="Q97" s="66">
        <f t="shared" si="33"/>
        <v>9855.7999999999993</v>
      </c>
    </row>
    <row r="98" spans="1:17" ht="140.25" customHeight="1" x14ac:dyDescent="0.25">
      <c r="A98" s="14" t="s">
        <v>134</v>
      </c>
      <c r="B98" s="53" t="s">
        <v>152</v>
      </c>
      <c r="C98" s="57" t="s">
        <v>188</v>
      </c>
      <c r="D98" s="22">
        <v>5336.4</v>
      </c>
      <c r="E98" s="22">
        <v>4829.3999999999996</v>
      </c>
      <c r="F98" s="22">
        <v>0</v>
      </c>
      <c r="G98" s="22">
        <v>0</v>
      </c>
      <c r="H98" s="34">
        <f t="shared" si="41"/>
        <v>-507</v>
      </c>
      <c r="I98" s="34">
        <f t="shared" si="42"/>
        <v>4829.3999999999996</v>
      </c>
      <c r="J98" s="22">
        <v>5549.7</v>
      </c>
      <c r="K98" s="22">
        <v>5022.3999999999996</v>
      </c>
      <c r="L98" s="34">
        <f t="shared" si="29"/>
        <v>-527.30000000000018</v>
      </c>
      <c r="M98" s="34">
        <f t="shared" si="30"/>
        <v>5022.3999999999996</v>
      </c>
      <c r="N98" s="22">
        <v>5549.7</v>
      </c>
      <c r="O98" s="66">
        <v>5223.3999999999996</v>
      </c>
      <c r="P98" s="66">
        <f t="shared" si="32"/>
        <v>-326.30000000000018</v>
      </c>
      <c r="Q98" s="66">
        <f t="shared" si="33"/>
        <v>5223.3999999999996</v>
      </c>
    </row>
    <row r="99" spans="1:17" x14ac:dyDescent="0.25">
      <c r="A99" s="14" t="s">
        <v>153</v>
      </c>
      <c r="B99" s="56" t="s">
        <v>154</v>
      </c>
      <c r="C99" s="46"/>
      <c r="D99" s="19">
        <f>SUM(D100+D101+D102+D103+D104+D105)</f>
        <v>440735.39999999997</v>
      </c>
      <c r="E99" s="19">
        <f t="shared" ref="E99:F99" si="43">SUM(E100+E101+E102+E103+E104+E105)</f>
        <v>573561.80000000005</v>
      </c>
      <c r="F99" s="19">
        <f t="shared" si="43"/>
        <v>0</v>
      </c>
      <c r="G99" s="19">
        <v>0</v>
      </c>
      <c r="H99" s="34">
        <f t="shared" si="41"/>
        <v>132826.40000000008</v>
      </c>
      <c r="I99" s="34">
        <f t="shared" si="42"/>
        <v>573561.80000000005</v>
      </c>
      <c r="J99" s="19">
        <f t="shared" ref="J99:O99" si="44">SUM(J100+J101+J102+J103+J104+J105)</f>
        <v>395462</v>
      </c>
      <c r="K99" s="19">
        <f t="shared" si="44"/>
        <v>506594.4</v>
      </c>
      <c r="L99" s="34">
        <f t="shared" si="29"/>
        <v>111132.40000000002</v>
      </c>
      <c r="M99" s="34">
        <f t="shared" si="30"/>
        <v>506594.4</v>
      </c>
      <c r="N99" s="19">
        <f t="shared" si="44"/>
        <v>395462</v>
      </c>
      <c r="O99" s="19">
        <f t="shared" si="44"/>
        <v>341688.6</v>
      </c>
      <c r="P99" s="66">
        <f t="shared" si="32"/>
        <v>-53773.400000000023</v>
      </c>
      <c r="Q99" s="66">
        <f t="shared" si="33"/>
        <v>341688.6</v>
      </c>
    </row>
    <row r="100" spans="1:17" ht="152.25" customHeight="1" x14ac:dyDescent="0.25">
      <c r="A100" s="16" t="s">
        <v>155</v>
      </c>
      <c r="B100" s="56" t="s">
        <v>156</v>
      </c>
      <c r="C100" s="46">
        <v>53030</v>
      </c>
      <c r="D100" s="22">
        <v>13499.1</v>
      </c>
      <c r="E100" s="22">
        <v>13686.6</v>
      </c>
      <c r="F100" s="22">
        <v>0</v>
      </c>
      <c r="G100" s="22">
        <v>0</v>
      </c>
      <c r="H100" s="34">
        <f t="shared" si="41"/>
        <v>187.5</v>
      </c>
      <c r="I100" s="34">
        <f t="shared" si="42"/>
        <v>13686.6</v>
      </c>
      <c r="J100" s="22">
        <v>13499.1</v>
      </c>
      <c r="K100" s="22">
        <v>13686.6</v>
      </c>
      <c r="L100" s="34">
        <f t="shared" si="29"/>
        <v>187.5</v>
      </c>
      <c r="M100" s="34">
        <f t="shared" si="30"/>
        <v>13686.6</v>
      </c>
      <c r="N100" s="22">
        <v>13499.1</v>
      </c>
      <c r="O100" s="66">
        <v>13686.6</v>
      </c>
      <c r="P100" s="66">
        <f t="shared" si="32"/>
        <v>187.5</v>
      </c>
      <c r="Q100" s="66">
        <f t="shared" si="33"/>
        <v>13686.6</v>
      </c>
    </row>
    <row r="101" spans="1:17" ht="75" x14ac:dyDescent="0.25">
      <c r="A101" s="16" t="s">
        <v>157</v>
      </c>
      <c r="B101" s="21" t="s">
        <v>158</v>
      </c>
      <c r="C101" s="42" t="s">
        <v>200</v>
      </c>
      <c r="D101" s="22">
        <v>110128.6</v>
      </c>
      <c r="E101" s="22">
        <v>14000</v>
      </c>
      <c r="F101" s="22">
        <v>0</v>
      </c>
      <c r="G101" s="22">
        <v>0</v>
      </c>
      <c r="H101" s="34">
        <f t="shared" si="41"/>
        <v>-96128.6</v>
      </c>
      <c r="I101" s="34">
        <f t="shared" si="42"/>
        <v>14000</v>
      </c>
      <c r="J101" s="22">
        <v>0</v>
      </c>
      <c r="K101" s="22">
        <v>0</v>
      </c>
      <c r="L101" s="34">
        <f t="shared" si="29"/>
        <v>0</v>
      </c>
      <c r="M101" s="34">
        <f t="shared" si="30"/>
        <v>0</v>
      </c>
      <c r="N101" s="22">
        <v>0</v>
      </c>
      <c r="O101" s="66">
        <v>0</v>
      </c>
      <c r="P101" s="66">
        <f t="shared" si="32"/>
        <v>0</v>
      </c>
      <c r="Q101" s="66">
        <f t="shared" si="33"/>
        <v>0</v>
      </c>
    </row>
    <row r="102" spans="1:17" ht="168" customHeight="1" x14ac:dyDescent="0.25">
      <c r="A102" s="14" t="s">
        <v>159</v>
      </c>
      <c r="B102" s="56" t="s">
        <v>160</v>
      </c>
      <c r="C102" s="46">
        <v>62230</v>
      </c>
      <c r="D102" s="22">
        <v>182978.9</v>
      </c>
      <c r="E102" s="22">
        <v>408805.7</v>
      </c>
      <c r="F102" s="22">
        <v>0</v>
      </c>
      <c r="G102" s="22">
        <v>0</v>
      </c>
      <c r="H102" s="34">
        <f t="shared" si="41"/>
        <v>225826.80000000002</v>
      </c>
      <c r="I102" s="34">
        <f t="shared" si="42"/>
        <v>408805.7</v>
      </c>
      <c r="J102" s="22">
        <v>243026.1</v>
      </c>
      <c r="K102" s="22">
        <v>385781.7</v>
      </c>
      <c r="L102" s="34">
        <f t="shared" si="29"/>
        <v>142755.6</v>
      </c>
      <c r="M102" s="34">
        <f t="shared" si="30"/>
        <v>385781.7</v>
      </c>
      <c r="N102" s="22">
        <v>243026.1</v>
      </c>
      <c r="O102" s="66">
        <v>224526.4</v>
      </c>
      <c r="P102" s="66">
        <f t="shared" si="32"/>
        <v>-18499.700000000012</v>
      </c>
      <c r="Q102" s="66">
        <f t="shared" si="33"/>
        <v>224526.4</v>
      </c>
    </row>
    <row r="103" spans="1:17" ht="154.5" customHeight="1" x14ac:dyDescent="0.25">
      <c r="A103" s="14" t="s">
        <v>159</v>
      </c>
      <c r="B103" s="56" t="s">
        <v>161</v>
      </c>
      <c r="C103" s="46">
        <v>62240</v>
      </c>
      <c r="D103" s="22">
        <v>134128.79999999999</v>
      </c>
      <c r="E103" s="22">
        <v>137069.5</v>
      </c>
      <c r="F103" s="22">
        <v>0</v>
      </c>
      <c r="G103" s="22">
        <v>0</v>
      </c>
      <c r="H103" s="34">
        <f t="shared" si="41"/>
        <v>2940.7000000000116</v>
      </c>
      <c r="I103" s="34">
        <f t="shared" si="42"/>
        <v>137069.5</v>
      </c>
      <c r="J103" s="22">
        <v>138936.79999999999</v>
      </c>
      <c r="K103" s="22">
        <v>107126.1</v>
      </c>
      <c r="L103" s="34">
        <f t="shared" si="29"/>
        <v>-31810.699999999983</v>
      </c>
      <c r="M103" s="34">
        <f t="shared" si="30"/>
        <v>107126.1</v>
      </c>
      <c r="N103" s="22">
        <v>138936.79999999999</v>
      </c>
      <c r="O103" s="66">
        <v>103475.6</v>
      </c>
      <c r="P103" s="66">
        <f t="shared" si="32"/>
        <v>-35461.199999999983</v>
      </c>
      <c r="Q103" s="66">
        <f t="shared" si="33"/>
        <v>103475.6</v>
      </c>
    </row>
    <row r="104" spans="1:17" ht="90" hidden="1" x14ac:dyDescent="0.25">
      <c r="A104" s="16" t="s">
        <v>159</v>
      </c>
      <c r="B104" s="49" t="s">
        <v>162</v>
      </c>
      <c r="C104" s="58" t="s">
        <v>163</v>
      </c>
      <c r="D104" s="22">
        <v>0</v>
      </c>
      <c r="E104" s="22"/>
      <c r="F104" s="22"/>
      <c r="G104" s="22"/>
      <c r="H104" s="34">
        <f t="shared" si="41"/>
        <v>0</v>
      </c>
      <c r="I104" s="34">
        <f t="shared" si="42"/>
        <v>0</v>
      </c>
      <c r="J104" s="22">
        <v>0</v>
      </c>
      <c r="K104" s="22"/>
      <c r="L104" s="34">
        <f t="shared" si="29"/>
        <v>0</v>
      </c>
      <c r="M104" s="34">
        <f t="shared" si="30"/>
        <v>0</v>
      </c>
      <c r="N104" s="22"/>
      <c r="O104" s="66"/>
      <c r="P104" s="66">
        <f t="shared" si="32"/>
        <v>0</v>
      </c>
      <c r="Q104" s="66">
        <f t="shared" si="33"/>
        <v>0</v>
      </c>
    </row>
    <row r="105" spans="1:17" ht="75" hidden="1" x14ac:dyDescent="0.25">
      <c r="A105" s="55" t="s">
        <v>196</v>
      </c>
      <c r="B105" s="56" t="s">
        <v>164</v>
      </c>
      <c r="C105" s="46">
        <v>50910</v>
      </c>
      <c r="D105" s="22">
        <v>0</v>
      </c>
      <c r="E105" s="22"/>
      <c r="F105" s="22"/>
      <c r="G105" s="22"/>
      <c r="H105" s="34">
        <f t="shared" si="41"/>
        <v>0</v>
      </c>
      <c r="I105" s="34">
        <f t="shared" si="42"/>
        <v>0</v>
      </c>
      <c r="J105" s="22">
        <v>0</v>
      </c>
      <c r="K105" s="22"/>
      <c r="L105" s="34">
        <f t="shared" si="29"/>
        <v>0</v>
      </c>
      <c r="M105" s="34">
        <f t="shared" si="30"/>
        <v>0</v>
      </c>
      <c r="N105" s="22"/>
      <c r="O105" s="66"/>
      <c r="P105" s="66">
        <f t="shared" si="32"/>
        <v>0</v>
      </c>
      <c r="Q105" s="66">
        <f t="shared" si="33"/>
        <v>0</v>
      </c>
    </row>
    <row r="106" spans="1:17" s="6" customFormat="1" x14ac:dyDescent="0.25">
      <c r="A106" s="14" t="s">
        <v>165</v>
      </c>
      <c r="B106" s="56" t="s">
        <v>166</v>
      </c>
      <c r="C106" s="59"/>
      <c r="D106" s="60">
        <f t="shared" ref="D106:O106" si="45">SUM(D107)</f>
        <v>0</v>
      </c>
      <c r="E106" s="60">
        <f t="shared" si="45"/>
        <v>0</v>
      </c>
      <c r="F106" s="60">
        <f t="shared" si="45"/>
        <v>0</v>
      </c>
      <c r="G106" s="60">
        <v>0</v>
      </c>
      <c r="H106" s="34">
        <f>G106-D106</f>
        <v>0</v>
      </c>
      <c r="I106" s="34">
        <f t="shared" si="42"/>
        <v>0</v>
      </c>
      <c r="J106" s="60">
        <f t="shared" si="45"/>
        <v>0</v>
      </c>
      <c r="K106" s="60">
        <f t="shared" si="45"/>
        <v>0</v>
      </c>
      <c r="L106" s="34">
        <f t="shared" si="29"/>
        <v>0</v>
      </c>
      <c r="M106" s="34">
        <f t="shared" si="30"/>
        <v>0</v>
      </c>
      <c r="N106" s="60">
        <f t="shared" si="45"/>
        <v>0</v>
      </c>
      <c r="O106" s="60">
        <f t="shared" si="45"/>
        <v>0</v>
      </c>
      <c r="P106" s="66">
        <f t="shared" si="32"/>
        <v>0</v>
      </c>
      <c r="Q106" s="66">
        <f t="shared" si="33"/>
        <v>0</v>
      </c>
    </row>
    <row r="107" spans="1:17" ht="30" x14ac:dyDescent="0.25">
      <c r="A107" s="14" t="s">
        <v>167</v>
      </c>
      <c r="B107" s="56" t="s">
        <v>168</v>
      </c>
      <c r="C107" s="46"/>
      <c r="D107" s="22">
        <v>0</v>
      </c>
      <c r="E107" s="22">
        <v>0</v>
      </c>
      <c r="F107" s="22">
        <v>0</v>
      </c>
      <c r="G107" s="22">
        <v>0</v>
      </c>
      <c r="H107" s="34">
        <f t="shared" ref="H107:H112" si="46">G107-D107</f>
        <v>0</v>
      </c>
      <c r="I107" s="34">
        <f t="shared" si="42"/>
        <v>0</v>
      </c>
      <c r="J107" s="22">
        <v>0</v>
      </c>
      <c r="K107" s="22">
        <v>0</v>
      </c>
      <c r="L107" s="34">
        <f t="shared" si="29"/>
        <v>0</v>
      </c>
      <c r="M107" s="34">
        <f t="shared" si="30"/>
        <v>0</v>
      </c>
      <c r="N107" s="22">
        <v>0</v>
      </c>
      <c r="O107" s="66">
        <v>0</v>
      </c>
      <c r="P107" s="66">
        <f t="shared" si="32"/>
        <v>0</v>
      </c>
      <c r="Q107" s="66">
        <f t="shared" si="33"/>
        <v>0</v>
      </c>
    </row>
    <row r="108" spans="1:17" ht="120" x14ac:dyDescent="0.25">
      <c r="A108" s="16" t="s">
        <v>169</v>
      </c>
      <c r="B108" s="56" t="s">
        <v>170</v>
      </c>
      <c r="C108" s="46"/>
      <c r="D108" s="60">
        <f t="shared" ref="D108:G108" si="47">D109+D110</f>
        <v>0</v>
      </c>
      <c r="E108" s="60">
        <f t="shared" si="47"/>
        <v>0</v>
      </c>
      <c r="F108" s="60">
        <f t="shared" si="47"/>
        <v>0</v>
      </c>
      <c r="G108" s="60">
        <f t="shared" si="47"/>
        <v>591.9</v>
      </c>
      <c r="H108" s="34">
        <f t="shared" si="46"/>
        <v>591.9</v>
      </c>
      <c r="I108" s="34">
        <f t="shared" si="42"/>
        <v>591.9</v>
      </c>
      <c r="J108" s="60">
        <f t="shared" ref="J108:O108" si="48">J109+J110</f>
        <v>0</v>
      </c>
      <c r="K108" s="60">
        <f t="shared" si="48"/>
        <v>0</v>
      </c>
      <c r="L108" s="34">
        <f t="shared" si="29"/>
        <v>0</v>
      </c>
      <c r="M108" s="34">
        <f t="shared" si="30"/>
        <v>0</v>
      </c>
      <c r="N108" s="60">
        <f t="shared" si="48"/>
        <v>0</v>
      </c>
      <c r="O108" s="60">
        <f t="shared" si="48"/>
        <v>0</v>
      </c>
      <c r="P108" s="66">
        <f t="shared" si="32"/>
        <v>0</v>
      </c>
      <c r="Q108" s="66">
        <f t="shared" si="33"/>
        <v>0</v>
      </c>
    </row>
    <row r="109" spans="1:17" ht="45" x14ac:dyDescent="0.25">
      <c r="A109" s="16" t="s">
        <v>171</v>
      </c>
      <c r="B109" s="56" t="s">
        <v>172</v>
      </c>
      <c r="C109" s="46"/>
      <c r="D109" s="22">
        <v>0</v>
      </c>
      <c r="E109" s="22">
        <v>0</v>
      </c>
      <c r="F109" s="22">
        <v>0</v>
      </c>
      <c r="G109" s="22">
        <f>591.9</f>
        <v>591.9</v>
      </c>
      <c r="H109" s="34">
        <f t="shared" si="46"/>
        <v>591.9</v>
      </c>
      <c r="I109" s="34">
        <f t="shared" si="42"/>
        <v>591.9</v>
      </c>
      <c r="J109" s="22">
        <v>0</v>
      </c>
      <c r="K109" s="22">
        <v>0</v>
      </c>
      <c r="L109" s="34">
        <f t="shared" si="29"/>
        <v>0</v>
      </c>
      <c r="M109" s="34">
        <f t="shared" si="30"/>
        <v>0</v>
      </c>
      <c r="N109" s="22">
        <v>0</v>
      </c>
      <c r="O109" s="66">
        <v>0</v>
      </c>
      <c r="P109" s="66">
        <f t="shared" si="32"/>
        <v>0</v>
      </c>
      <c r="Q109" s="66">
        <f t="shared" si="33"/>
        <v>0</v>
      </c>
    </row>
    <row r="110" spans="1:17" ht="45" x14ac:dyDescent="0.25">
      <c r="A110" s="16" t="s">
        <v>197</v>
      </c>
      <c r="B110" s="56" t="s">
        <v>173</v>
      </c>
      <c r="C110" s="46"/>
      <c r="D110" s="22">
        <v>0</v>
      </c>
      <c r="E110" s="22">
        <v>0</v>
      </c>
      <c r="F110" s="22">
        <v>0</v>
      </c>
      <c r="G110" s="22">
        <v>0</v>
      </c>
      <c r="H110" s="34">
        <f t="shared" si="46"/>
        <v>0</v>
      </c>
      <c r="I110" s="34">
        <f t="shared" si="42"/>
        <v>0</v>
      </c>
      <c r="J110" s="22">
        <v>0</v>
      </c>
      <c r="K110" s="22">
        <v>0</v>
      </c>
      <c r="L110" s="34">
        <f t="shared" si="29"/>
        <v>0</v>
      </c>
      <c r="M110" s="34">
        <f t="shared" si="30"/>
        <v>0</v>
      </c>
      <c r="N110" s="22">
        <v>0</v>
      </c>
      <c r="O110" s="66">
        <v>0</v>
      </c>
      <c r="P110" s="66">
        <f t="shared" si="32"/>
        <v>0</v>
      </c>
      <c r="Q110" s="66">
        <f t="shared" si="33"/>
        <v>0</v>
      </c>
    </row>
    <row r="111" spans="1:17" ht="60" x14ac:dyDescent="0.25">
      <c r="A111" s="14" t="s">
        <v>174</v>
      </c>
      <c r="B111" s="56" t="s">
        <v>175</v>
      </c>
      <c r="C111" s="46"/>
      <c r="D111" s="60">
        <f t="shared" ref="D111:O111" si="49">SUM(D112)</f>
        <v>0</v>
      </c>
      <c r="E111" s="60">
        <f t="shared" si="49"/>
        <v>0</v>
      </c>
      <c r="F111" s="60">
        <f t="shared" si="49"/>
        <v>0</v>
      </c>
      <c r="G111" s="60">
        <f t="shared" si="49"/>
        <v>-930.5</v>
      </c>
      <c r="H111" s="34">
        <f t="shared" si="46"/>
        <v>-930.5</v>
      </c>
      <c r="I111" s="34">
        <f t="shared" si="42"/>
        <v>-930.5</v>
      </c>
      <c r="J111" s="60">
        <f t="shared" si="49"/>
        <v>0</v>
      </c>
      <c r="K111" s="60">
        <f t="shared" si="49"/>
        <v>0</v>
      </c>
      <c r="L111" s="34">
        <f t="shared" si="29"/>
        <v>0</v>
      </c>
      <c r="M111" s="34">
        <f t="shared" si="30"/>
        <v>0</v>
      </c>
      <c r="N111" s="60">
        <f t="shared" si="49"/>
        <v>0</v>
      </c>
      <c r="O111" s="60">
        <f t="shared" si="49"/>
        <v>0</v>
      </c>
      <c r="P111" s="66">
        <f t="shared" si="32"/>
        <v>0</v>
      </c>
      <c r="Q111" s="66">
        <f t="shared" si="33"/>
        <v>0</v>
      </c>
    </row>
    <row r="112" spans="1:17" ht="60" x14ac:dyDescent="0.25">
      <c r="A112" s="14" t="s">
        <v>176</v>
      </c>
      <c r="B112" s="56" t="s">
        <v>177</v>
      </c>
      <c r="C112" s="46"/>
      <c r="D112" s="22">
        <v>0</v>
      </c>
      <c r="E112" s="22">
        <v>0</v>
      </c>
      <c r="F112" s="22">
        <v>0</v>
      </c>
      <c r="G112" s="22">
        <v>-930.5</v>
      </c>
      <c r="H112" s="34">
        <f t="shared" si="46"/>
        <v>-930.5</v>
      </c>
      <c r="I112" s="34">
        <f t="shared" si="42"/>
        <v>-930.5</v>
      </c>
      <c r="J112" s="22">
        <v>0</v>
      </c>
      <c r="K112" s="22">
        <v>0</v>
      </c>
      <c r="L112" s="34">
        <f t="shared" si="29"/>
        <v>0</v>
      </c>
      <c r="M112" s="34">
        <f t="shared" si="30"/>
        <v>0</v>
      </c>
      <c r="N112" s="22">
        <v>0</v>
      </c>
      <c r="O112" s="66">
        <v>0</v>
      </c>
      <c r="P112" s="66">
        <f t="shared" si="32"/>
        <v>0</v>
      </c>
      <c r="Q112" s="66">
        <f t="shared" si="33"/>
        <v>0</v>
      </c>
    </row>
    <row r="113" spans="1:17" s="62" customFormat="1" x14ac:dyDescent="0.25">
      <c r="A113" s="16"/>
      <c r="B113" s="61" t="s">
        <v>178</v>
      </c>
      <c r="C113" s="42"/>
      <c r="D113" s="60">
        <f t="shared" ref="D113:E113" si="50">SUM(D8+D52)</f>
        <v>2432269.5999999996</v>
      </c>
      <c r="E113" s="60">
        <f t="shared" si="50"/>
        <v>1792987.5</v>
      </c>
      <c r="F113" s="60">
        <f>SUM(F8+F52)</f>
        <v>4439.3999999999996</v>
      </c>
      <c r="G113" s="60">
        <f>G8+G52</f>
        <v>916491.9</v>
      </c>
      <c r="H113" s="60">
        <f t="shared" ref="H113:Q113" si="51">SUM(H8+H52)</f>
        <v>281649.20000000007</v>
      </c>
      <c r="I113" s="60">
        <f>SUM(I8+I52)</f>
        <v>2713918.8</v>
      </c>
      <c r="J113" s="60">
        <f t="shared" si="51"/>
        <v>1811684.1</v>
      </c>
      <c r="K113" s="60">
        <f t="shared" si="51"/>
        <v>982292.9</v>
      </c>
      <c r="L113" s="60">
        <f t="shared" si="51"/>
        <v>132184.90000000002</v>
      </c>
      <c r="M113" s="60">
        <f t="shared" si="51"/>
        <v>1943869</v>
      </c>
      <c r="N113" s="60">
        <f t="shared" si="51"/>
        <v>1753345.5</v>
      </c>
      <c r="O113" s="60">
        <f t="shared" si="51"/>
        <v>805082</v>
      </c>
      <c r="P113" s="60">
        <f t="shared" si="51"/>
        <v>33738.300000000047</v>
      </c>
      <c r="Q113" s="60">
        <f t="shared" si="51"/>
        <v>1787083.8</v>
      </c>
    </row>
    <row r="114" spans="1:17" x14ac:dyDescent="0.25">
      <c r="B114" s="1"/>
      <c r="C114" s="1"/>
    </row>
    <row r="115" spans="1:17" x14ac:dyDescent="0.25">
      <c r="B115" s="1"/>
      <c r="C115" s="1"/>
    </row>
    <row r="116" spans="1:17" x14ac:dyDescent="0.25">
      <c r="B116" s="1"/>
      <c r="C116" s="1"/>
    </row>
  </sheetData>
  <mergeCells count="10">
    <mergeCell ref="A1:Q1"/>
    <mergeCell ref="A2:Q2"/>
    <mergeCell ref="A3:Q3"/>
    <mergeCell ref="A5:A6"/>
    <mergeCell ref="B5:B6"/>
    <mergeCell ref="C5:C6"/>
    <mergeCell ref="D5:I5"/>
    <mergeCell ref="J5:M5"/>
    <mergeCell ref="N5:Q5"/>
    <mergeCell ref="P4:Q4"/>
  </mergeCells>
  <pageMargins left="0.39370078740157483" right="0.39370078740157483" top="0.59055118110236227" bottom="0.59055118110236227" header="0.31496062992125984" footer="0.31496062992125984"/>
  <pageSetup paperSize="9" scale="46" fitToWidth="0" fitToHeight="0" orientation="landscape" horizontalDpi="4294967295" verticalDpi="4294967295" r:id="rId1"/>
  <rowBreaks count="5" manualBreakCount="5">
    <brk id="33" max="16" man="1"/>
    <brk id="60" max="16" man="1"/>
    <brk id="82" max="16" man="1"/>
    <brk id="91" max="15" man="1"/>
    <brk id="101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Поправки апрель 2022-2024</vt:lpstr>
      <vt:lpstr>'Поправки апрель 2022-2024'!Заголовки_для_печати</vt:lpstr>
      <vt:lpstr>'Поправки апрель 2022-2024'!Область_печати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А. Пастух</dc:creator>
  <cp:lastModifiedBy>Ирина А. Пастух</cp:lastModifiedBy>
  <cp:lastPrinted>2022-04-03T23:00:12Z</cp:lastPrinted>
  <dcterms:created xsi:type="dcterms:W3CDTF">2021-10-14T06:10:06Z</dcterms:created>
  <dcterms:modified xsi:type="dcterms:W3CDTF">2022-04-03T23:10:30Z</dcterms:modified>
</cp:coreProperties>
</file>