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stor-01.noglikiadmin\Documents\Exchange\ДЕПАРТАМЕНТ СОЦИАЛЬНОЙ ПОЛИТИКИ\Костылева А.Ф\От  Мельниковой\Нормативы по услугам на 2023\"/>
    </mc:Choice>
  </mc:AlternateContent>
  <xr:revisionPtr revIDLastSave="0" documentId="13_ncr:1_{28D9AD3B-E5E0-4EA5-8EB4-82F2EE4B5CFB}" xr6:coauthVersionLast="47" xr6:coauthVersionMax="47" xr10:uidLastSave="{00000000-0000-0000-0000-000000000000}"/>
  <bookViews>
    <workbookView xWindow="-120" yWindow="-120" windowWidth="38640" windowHeight="21240" firstSheet="13" activeTab="17" xr2:uid="{00000000-000D-0000-FFFF-FFFF00000000}"/>
  </bookViews>
  <sheets>
    <sheet name="ком.усл.дс,школы" sheetId="1" state="hidden" r:id="rId1"/>
    <sheet name="ком.усл.доп.обр." sheetId="2" state="hidden" r:id="rId2"/>
    <sheet name="ком.усл.культура" sheetId="3" state="hidden" r:id="rId3"/>
    <sheet name="Лист1" sheetId="4" state="hidden" r:id="rId4"/>
    <sheet name="Лист2" sheetId="5" state="hidden" r:id="rId5"/>
    <sheet name="Размер норм.затрат 2017" sheetId="6" state="hidden" r:id="rId6"/>
    <sheet name="Лист4" sheetId="7" state="hidden" r:id="rId7"/>
    <sheet name="2018" sheetId="8" state="hidden" r:id="rId8"/>
    <sheet name="2018 культ." sheetId="9" state="hidden" r:id="rId9"/>
    <sheet name="1пол.2018" sheetId="13" state="hidden" r:id="rId10"/>
    <sheet name="1пол.2018 (2)" sheetId="14" state="hidden" r:id="rId11"/>
    <sheet name="2018 декабрь" sheetId="15" state="hidden" r:id="rId12"/>
    <sheet name="2019" sheetId="16" state="hidden" r:id="rId13"/>
    <sheet name="школы 2023бюджет" sheetId="45" r:id="rId14"/>
    <sheet name="Дс 2023 Бюджет" sheetId="39" r:id="rId15"/>
    <sheet name="культура 2023бюджет" sheetId="42" r:id="rId16"/>
    <sheet name="доп.обр.2023бюджет" sheetId="49" r:id="rId17"/>
    <sheet name="СШ 2023-2025 бюджет" sheetId="51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49" l="1"/>
  <c r="K30" i="49"/>
  <c r="J170" i="49"/>
  <c r="J162" i="49"/>
  <c r="J158" i="49"/>
  <c r="M169" i="49" l="1"/>
  <c r="M168" i="49"/>
  <c r="M167" i="49"/>
  <c r="J166" i="49"/>
  <c r="M166" i="49" s="1"/>
  <c r="J165" i="49"/>
  <c r="M165" i="49" s="1"/>
  <c r="J164" i="49"/>
  <c r="M164" i="49" s="1"/>
  <c r="J163" i="49"/>
  <c r="M170" i="49" s="1"/>
  <c r="M160" i="49"/>
  <c r="M159" i="49"/>
  <c r="J183" i="49"/>
  <c r="J181" i="49"/>
  <c r="J185" i="49" s="1"/>
  <c r="J117" i="49"/>
  <c r="J121" i="49" s="1"/>
  <c r="J97" i="49"/>
  <c r="J96" i="49"/>
  <c r="J100" i="49" s="1"/>
  <c r="J75" i="49"/>
  <c r="J79" i="49" s="1"/>
  <c r="J52" i="49"/>
  <c r="J56" i="49" s="1"/>
  <c r="J30" i="49"/>
  <c r="G13" i="49"/>
  <c r="U8" i="42"/>
  <c r="Y4" i="42"/>
  <c r="U4" i="42"/>
  <c r="L491" i="51"/>
  <c r="L486" i="51"/>
  <c r="L475" i="51"/>
  <c r="L466" i="51"/>
  <c r="L455" i="51"/>
  <c r="L357" i="51"/>
  <c r="L356" i="51"/>
  <c r="L355" i="51"/>
  <c r="L350" i="51"/>
  <c r="L339" i="51"/>
  <c r="L328" i="51"/>
  <c r="L318" i="51"/>
  <c r="L307" i="51"/>
  <c r="L296" i="51"/>
  <c r="L285" i="51"/>
  <c r="L275" i="51"/>
  <c r="L264" i="51"/>
  <c r="L254" i="51"/>
  <c r="L243" i="51"/>
  <c r="L233" i="51"/>
  <c r="L222" i="51"/>
  <c r="L212" i="51"/>
  <c r="L201" i="51"/>
  <c r="L191" i="51"/>
  <c r="L180" i="51"/>
  <c r="L169" i="51"/>
  <c r="L158" i="51"/>
  <c r="L148" i="51"/>
  <c r="L147" i="51"/>
  <c r="L136" i="51"/>
  <c r="L126" i="51"/>
  <c r="L115" i="51"/>
  <c r="L105" i="51"/>
  <c r="L94" i="51"/>
  <c r="L54" i="51"/>
  <c r="L62" i="51"/>
  <c r="L51" i="51"/>
  <c r="L41" i="51"/>
  <c r="L30" i="51"/>
  <c r="L19" i="51"/>
  <c r="L8" i="51"/>
  <c r="K486" i="51"/>
  <c r="K475" i="51"/>
  <c r="L478" i="51"/>
  <c r="K478" i="51"/>
  <c r="L474" i="51"/>
  <c r="K474" i="51"/>
  <c r="K468" i="51"/>
  <c r="K466" i="51"/>
  <c r="K455" i="51"/>
  <c r="L458" i="51"/>
  <c r="K458" i="51"/>
  <c r="L454" i="51"/>
  <c r="K454" i="51"/>
  <c r="K405" i="51"/>
  <c r="K357" i="51"/>
  <c r="K356" i="51"/>
  <c r="K355" i="51"/>
  <c r="K350" i="51"/>
  <c r="L353" i="51"/>
  <c r="K353" i="51"/>
  <c r="L349" i="51"/>
  <c r="K349" i="51"/>
  <c r="K339" i="51"/>
  <c r="K328" i="51"/>
  <c r="L331" i="51"/>
  <c r="K331" i="51"/>
  <c r="L327" i="51"/>
  <c r="K327" i="51"/>
  <c r="K318" i="51"/>
  <c r="K307" i="51"/>
  <c r="L310" i="51"/>
  <c r="K310" i="51"/>
  <c r="L306" i="51"/>
  <c r="K306" i="51"/>
  <c r="K296" i="51"/>
  <c r="K285" i="51"/>
  <c r="L288" i="51"/>
  <c r="K288" i="51"/>
  <c r="L284" i="51"/>
  <c r="K284" i="51"/>
  <c r="K275" i="51"/>
  <c r="K264" i="51"/>
  <c r="L267" i="51"/>
  <c r="K267" i="51"/>
  <c r="L263" i="51"/>
  <c r="K263" i="51"/>
  <c r="K254" i="51"/>
  <c r="K243" i="51"/>
  <c r="L246" i="51"/>
  <c r="K246" i="51"/>
  <c r="L242" i="51"/>
  <c r="K242" i="51"/>
  <c r="K233" i="51"/>
  <c r="K222" i="51"/>
  <c r="L225" i="51"/>
  <c r="K225" i="51"/>
  <c r="L221" i="51"/>
  <c r="K221" i="51"/>
  <c r="K212" i="51"/>
  <c r="K201" i="51"/>
  <c r="L204" i="51"/>
  <c r="K204" i="51"/>
  <c r="L200" i="51"/>
  <c r="K200" i="51"/>
  <c r="K191" i="51"/>
  <c r="K180" i="51"/>
  <c r="L183" i="51"/>
  <c r="K183" i="51"/>
  <c r="L179" i="51"/>
  <c r="K179" i="51"/>
  <c r="K169" i="51"/>
  <c r="K158" i="51"/>
  <c r="L161" i="51"/>
  <c r="K161" i="51"/>
  <c r="L157" i="51"/>
  <c r="K157" i="51"/>
  <c r="K147" i="51"/>
  <c r="K136" i="51"/>
  <c r="L139" i="51"/>
  <c r="K139" i="51"/>
  <c r="L135" i="51"/>
  <c r="K135" i="51"/>
  <c r="K126" i="51"/>
  <c r="K115" i="51"/>
  <c r="L118" i="51"/>
  <c r="K118" i="51"/>
  <c r="L114" i="51"/>
  <c r="K114" i="51"/>
  <c r="K105" i="51"/>
  <c r="K94" i="51"/>
  <c r="M162" i="49" l="1"/>
  <c r="J161" i="49"/>
  <c r="M161" i="49" s="1"/>
  <c r="J157" i="49"/>
  <c r="M163" i="49"/>
  <c r="M158" i="49"/>
  <c r="J34" i="49"/>
  <c r="L97" i="51"/>
  <c r="K97" i="51"/>
  <c r="L93" i="51"/>
  <c r="K93" i="51"/>
  <c r="K62" i="51"/>
  <c r="K51" i="51"/>
  <c r="J51" i="51"/>
  <c r="K54" i="51"/>
  <c r="L50" i="51"/>
  <c r="K50" i="51"/>
  <c r="K41" i="51"/>
  <c r="K30" i="51"/>
  <c r="K19" i="51"/>
  <c r="K8" i="51"/>
  <c r="L11" i="51"/>
  <c r="K11" i="51"/>
  <c r="L7" i="51"/>
  <c r="K7" i="51"/>
  <c r="J486" i="51"/>
  <c r="J476" i="51"/>
  <c r="J475" i="51"/>
  <c r="L482" i="51"/>
  <c r="K482" i="51"/>
  <c r="J482" i="51"/>
  <c r="L481" i="51"/>
  <c r="K481" i="51"/>
  <c r="J481" i="51"/>
  <c r="J479" i="51" s="1"/>
  <c r="L480" i="51"/>
  <c r="K480" i="51"/>
  <c r="J480" i="51"/>
  <c r="L479" i="51"/>
  <c r="K479" i="51"/>
  <c r="J474" i="51"/>
  <c r="J468" i="51"/>
  <c r="J466" i="51"/>
  <c r="J455" i="51"/>
  <c r="L462" i="51"/>
  <c r="K462" i="51"/>
  <c r="J462" i="51"/>
  <c r="L461" i="51"/>
  <c r="K461" i="51"/>
  <c r="J461" i="51"/>
  <c r="L460" i="51"/>
  <c r="L459" i="51" s="1"/>
  <c r="K460" i="51"/>
  <c r="K459" i="51" s="1"/>
  <c r="J460" i="51"/>
  <c r="J459" i="51"/>
  <c r="L457" i="51"/>
  <c r="L453" i="51"/>
  <c r="J454" i="51"/>
  <c r="J458" i="51" s="1"/>
  <c r="J457" i="51" s="1"/>
  <c r="K453" i="51"/>
  <c r="J357" i="51"/>
  <c r="J356" i="51"/>
  <c r="J355" i="51"/>
  <c r="J350" i="51"/>
  <c r="J353" i="51"/>
  <c r="J349" i="51"/>
  <c r="J339" i="51"/>
  <c r="J328" i="51"/>
  <c r="J331" i="51"/>
  <c r="J327" i="51"/>
  <c r="J318" i="51"/>
  <c r="J307" i="51"/>
  <c r="J310" i="51"/>
  <c r="J306" i="51"/>
  <c r="J296" i="51"/>
  <c r="J285" i="51"/>
  <c r="J288" i="51"/>
  <c r="J284" i="51"/>
  <c r="J275" i="51"/>
  <c r="J264" i="51"/>
  <c r="J267" i="51"/>
  <c r="J263" i="51"/>
  <c r="J254" i="51"/>
  <c r="J243" i="51"/>
  <c r="J246" i="51"/>
  <c r="J242" i="51"/>
  <c r="J222" i="51"/>
  <c r="J233" i="51"/>
  <c r="J225" i="51"/>
  <c r="J221" i="51"/>
  <c r="J212" i="51"/>
  <c r="J201" i="51"/>
  <c r="J204" i="51"/>
  <c r="J200" i="51"/>
  <c r="J191" i="51"/>
  <c r="J180" i="51"/>
  <c r="J183" i="51"/>
  <c r="J179" i="51"/>
  <c r="J169" i="51"/>
  <c r="J158" i="51"/>
  <c r="J161" i="51"/>
  <c r="J157" i="51"/>
  <c r="J147" i="51"/>
  <c r="J136" i="51"/>
  <c r="J139" i="51"/>
  <c r="J135" i="51"/>
  <c r="J126" i="51"/>
  <c r="J115" i="51"/>
  <c r="N117" i="51"/>
  <c r="J118" i="51"/>
  <c r="J114" i="51"/>
  <c r="J105" i="51"/>
  <c r="J94" i="51"/>
  <c r="J97" i="51"/>
  <c r="J93" i="51"/>
  <c r="J62" i="51"/>
  <c r="J54" i="51"/>
  <c r="J50" i="51"/>
  <c r="J41" i="51"/>
  <c r="J30" i="51"/>
  <c r="J33" i="51"/>
  <c r="J29" i="51"/>
  <c r="J19" i="51"/>
  <c r="J8" i="51"/>
  <c r="J11" i="51"/>
  <c r="J7" i="51"/>
  <c r="M157" i="49" l="1"/>
  <c r="J171" i="49"/>
  <c r="L467" i="51"/>
  <c r="L468" i="51" s="1"/>
  <c r="J473" i="51"/>
  <c r="J487" i="51"/>
  <c r="K477" i="51"/>
  <c r="L477" i="51"/>
  <c r="K473" i="51"/>
  <c r="J478" i="51"/>
  <c r="J477" i="51" s="1"/>
  <c r="L473" i="51"/>
  <c r="K457" i="51"/>
  <c r="K467" i="51" s="1"/>
  <c r="J453" i="51"/>
  <c r="J467" i="51" s="1"/>
  <c r="M63" i="39"/>
  <c r="N63" i="39"/>
  <c r="N61" i="39"/>
  <c r="M61" i="39"/>
  <c r="M51" i="39"/>
  <c r="L63" i="39"/>
  <c r="L61" i="39"/>
  <c r="L51" i="39"/>
  <c r="K63" i="39"/>
  <c r="K61" i="39"/>
  <c r="J63" i="39"/>
  <c r="J61" i="39"/>
  <c r="N41" i="39"/>
  <c r="N39" i="39"/>
  <c r="M41" i="39"/>
  <c r="M39" i="39"/>
  <c r="M29" i="39"/>
  <c r="L41" i="39"/>
  <c r="L39" i="39"/>
  <c r="L28" i="39"/>
  <c r="K41" i="39"/>
  <c r="K39" i="39"/>
  <c r="K31" i="39"/>
  <c r="J41" i="39"/>
  <c r="J197" i="49" l="1"/>
  <c r="J172" i="49"/>
  <c r="M171" i="49"/>
  <c r="J488" i="51"/>
  <c r="L487" i="51"/>
  <c r="L488" i="51" s="1"/>
  <c r="K487" i="51"/>
  <c r="J39" i="39"/>
  <c r="Z7" i="39"/>
  <c r="Z5" i="39"/>
  <c r="V7" i="39"/>
  <c r="V5" i="39"/>
  <c r="R7" i="39"/>
  <c r="R5" i="39"/>
  <c r="N7" i="39"/>
  <c r="N5" i="39"/>
  <c r="J7" i="39"/>
  <c r="J5" i="39"/>
  <c r="K491" i="51" l="1"/>
  <c r="K488" i="51"/>
  <c r="J247" i="45"/>
  <c r="N222" i="45"/>
  <c r="M222" i="45"/>
  <c r="J222" i="45"/>
  <c r="J128" i="45"/>
  <c r="N105" i="45"/>
  <c r="L105" i="45"/>
  <c r="K117" i="45"/>
  <c r="K105" i="45"/>
  <c r="J105" i="45"/>
  <c r="K94" i="45"/>
  <c r="K82" i="45"/>
  <c r="J82" i="45"/>
  <c r="N57" i="45"/>
  <c r="M57" i="45"/>
  <c r="L57" i="45"/>
  <c r="K69" i="45"/>
  <c r="K57" i="45"/>
  <c r="J57" i="45"/>
  <c r="N32" i="45"/>
  <c r="M32" i="45"/>
  <c r="L32" i="45"/>
  <c r="K44" i="45"/>
  <c r="K32" i="45"/>
  <c r="J32" i="45"/>
  <c r="J257" i="45"/>
  <c r="J246" i="45"/>
  <c r="J245" i="45" s="1"/>
  <c r="M220" i="45"/>
  <c r="M228" i="45"/>
  <c r="M226" i="45"/>
  <c r="M227" i="45"/>
  <c r="M232" i="45"/>
  <c r="J232" i="45"/>
  <c r="J221" i="45"/>
  <c r="N196" i="45"/>
  <c r="N198" i="45"/>
  <c r="P173" i="45"/>
  <c r="O173" i="45"/>
  <c r="N173" i="45"/>
  <c r="N172" i="45"/>
  <c r="L173" i="45"/>
  <c r="L172" i="45"/>
  <c r="K173" i="45"/>
  <c r="K172" i="45"/>
  <c r="J173" i="45"/>
  <c r="J172" i="45"/>
  <c r="J138" i="45"/>
  <c r="L115" i="45"/>
  <c r="J115" i="45"/>
  <c r="J92" i="45"/>
  <c r="M67" i="45"/>
  <c r="L67" i="45"/>
  <c r="J67" i="45"/>
  <c r="J56" i="45"/>
  <c r="M42" i="45"/>
  <c r="L42" i="45" l="1"/>
  <c r="L31" i="45"/>
  <c r="K31" i="45" l="1"/>
  <c r="J42" i="45"/>
  <c r="J31" i="45"/>
  <c r="Z9" i="45"/>
  <c r="V8" i="45"/>
  <c r="R18" i="45"/>
  <c r="R8" i="45"/>
  <c r="N9" i="45"/>
  <c r="J9" i="45"/>
  <c r="J8" i="45"/>
  <c r="K406" i="51" l="1"/>
  <c r="L433" i="51"/>
  <c r="J412" i="51"/>
  <c r="L391" i="51"/>
  <c r="J391" i="51"/>
  <c r="J370" i="51"/>
  <c r="L354" i="51"/>
  <c r="K348" i="51"/>
  <c r="K354" i="51"/>
  <c r="K361" i="51" s="1"/>
  <c r="L348" i="51"/>
  <c r="L335" i="51"/>
  <c r="L334" i="51"/>
  <c r="L333" i="51"/>
  <c r="L332" i="51" s="1"/>
  <c r="K335" i="51"/>
  <c r="K334" i="51"/>
  <c r="K333" i="51"/>
  <c r="K332" i="51"/>
  <c r="K330" i="51" s="1"/>
  <c r="L326" i="51"/>
  <c r="L314" i="51"/>
  <c r="L313" i="51"/>
  <c r="L312" i="51"/>
  <c r="K314" i="51"/>
  <c r="K313" i="51"/>
  <c r="K311" i="51"/>
  <c r="K312" i="51"/>
  <c r="K305" i="51"/>
  <c r="L311" i="51"/>
  <c r="L305" i="51"/>
  <c r="L292" i="51"/>
  <c r="L291" i="51"/>
  <c r="L289" i="51" s="1"/>
  <c r="L290" i="51"/>
  <c r="K292" i="51"/>
  <c r="K291" i="51"/>
  <c r="K290" i="51"/>
  <c r="K289" i="51" s="1"/>
  <c r="K283" i="51"/>
  <c r="L283" i="51"/>
  <c r="L271" i="51"/>
  <c r="L268" i="51" s="1"/>
  <c r="L270" i="51"/>
  <c r="L269" i="51"/>
  <c r="K271" i="51"/>
  <c r="K270" i="51"/>
  <c r="K269" i="51"/>
  <c r="K268" i="51"/>
  <c r="K262" i="51"/>
  <c r="L262" i="51"/>
  <c r="L250" i="51"/>
  <c r="L247" i="51" s="1"/>
  <c r="L249" i="51"/>
  <c r="L248" i="51"/>
  <c r="L241" i="51"/>
  <c r="K250" i="51"/>
  <c r="K249" i="51"/>
  <c r="K248" i="51"/>
  <c r="K247" i="51"/>
  <c r="K241" i="51"/>
  <c r="L229" i="51"/>
  <c r="L228" i="51"/>
  <c r="L227" i="51"/>
  <c r="L220" i="51"/>
  <c r="K229" i="51"/>
  <c r="K228" i="51"/>
  <c r="K227" i="51"/>
  <c r="K220" i="51"/>
  <c r="L226" i="51"/>
  <c r="K226" i="51"/>
  <c r="L208" i="51"/>
  <c r="L207" i="51"/>
  <c r="L206" i="51"/>
  <c r="K208" i="51"/>
  <c r="K207" i="51"/>
  <c r="K206" i="51"/>
  <c r="K199" i="51"/>
  <c r="L205" i="51"/>
  <c r="K205" i="51"/>
  <c r="L199" i="51"/>
  <c r="L187" i="51"/>
  <c r="L186" i="51"/>
  <c r="L185" i="51"/>
  <c r="L178" i="51"/>
  <c r="K187" i="51"/>
  <c r="K186" i="51"/>
  <c r="K185" i="51"/>
  <c r="L184" i="51"/>
  <c r="K184" i="51"/>
  <c r="K178" i="51"/>
  <c r="J184" i="51"/>
  <c r="J185" i="51"/>
  <c r="J186" i="51"/>
  <c r="J187" i="51"/>
  <c r="L165" i="51"/>
  <c r="L164" i="51"/>
  <c r="L162" i="51" s="1"/>
  <c r="L160" i="51" s="1"/>
  <c r="L163" i="51"/>
  <c r="K165" i="51"/>
  <c r="K164" i="51"/>
  <c r="K163" i="51"/>
  <c r="K162" i="51"/>
  <c r="L156" i="51"/>
  <c r="K156" i="51"/>
  <c r="L143" i="51"/>
  <c r="L142" i="51"/>
  <c r="L141" i="51"/>
  <c r="L140" i="51" s="1"/>
  <c r="L138" i="51" s="1"/>
  <c r="K143" i="51"/>
  <c r="K142" i="51"/>
  <c r="K141" i="51"/>
  <c r="K140" i="51"/>
  <c r="L134" i="51"/>
  <c r="K134" i="51"/>
  <c r="L122" i="51"/>
  <c r="L119" i="51" s="1"/>
  <c r="L121" i="51"/>
  <c r="L120" i="51"/>
  <c r="K122" i="51"/>
  <c r="K121" i="51"/>
  <c r="K120" i="51"/>
  <c r="K119" i="51"/>
  <c r="K113" i="51"/>
  <c r="L113" i="51"/>
  <c r="L101" i="51"/>
  <c r="L100" i="51"/>
  <c r="K100" i="51"/>
  <c r="K99" i="51"/>
  <c r="L99" i="51"/>
  <c r="L98" i="51" s="1"/>
  <c r="K101" i="51"/>
  <c r="K98" i="51"/>
  <c r="K92" i="51"/>
  <c r="L92" i="51"/>
  <c r="K74" i="51"/>
  <c r="K70" i="51"/>
  <c r="K84" i="51" s="1"/>
  <c r="K85" i="51" s="1"/>
  <c r="L70" i="51"/>
  <c r="L58" i="51"/>
  <c r="L57" i="51"/>
  <c r="L55" i="51" s="1"/>
  <c r="K57" i="51"/>
  <c r="K56" i="51"/>
  <c r="L56" i="51"/>
  <c r="K58" i="51"/>
  <c r="K55" i="51"/>
  <c r="L49" i="51"/>
  <c r="K49" i="51"/>
  <c r="L37" i="51"/>
  <c r="K37" i="51"/>
  <c r="J37" i="51"/>
  <c r="L36" i="51"/>
  <c r="L35" i="51"/>
  <c r="K28" i="51"/>
  <c r="K36" i="51"/>
  <c r="K34" i="51" s="1"/>
  <c r="K35" i="51"/>
  <c r="L34" i="51"/>
  <c r="L28" i="51"/>
  <c r="L29" i="51"/>
  <c r="K29" i="51"/>
  <c r="L15" i="51"/>
  <c r="L14" i="51"/>
  <c r="L13" i="51"/>
  <c r="L12" i="51"/>
  <c r="L6" i="51"/>
  <c r="K6" i="51"/>
  <c r="K12" i="51"/>
  <c r="K15" i="51"/>
  <c r="J15" i="51"/>
  <c r="K14" i="51"/>
  <c r="K13" i="51"/>
  <c r="L361" i="51" l="1"/>
  <c r="L352" i="51" s="1"/>
  <c r="L362" i="51" s="1"/>
  <c r="L363" i="51" s="1"/>
  <c r="K287" i="51"/>
  <c r="K297" i="51" s="1"/>
  <c r="K298" i="51" s="1"/>
  <c r="L266" i="51"/>
  <c r="L276" i="51" s="1"/>
  <c r="L277" i="51" s="1"/>
  <c r="L245" i="51"/>
  <c r="L255" i="51" s="1"/>
  <c r="L256" i="51" s="1"/>
  <c r="J426" i="51"/>
  <c r="J384" i="51"/>
  <c r="J385" i="51" s="1"/>
  <c r="L447" i="51"/>
  <c r="L448" i="51" s="1"/>
  <c r="J433" i="51"/>
  <c r="J447" i="51" s="1"/>
  <c r="J448" i="51" s="1"/>
  <c r="K433" i="51"/>
  <c r="K447" i="51" s="1"/>
  <c r="K448" i="51" s="1"/>
  <c r="K412" i="51"/>
  <c r="K426" i="51" s="1"/>
  <c r="K427" i="51" s="1"/>
  <c r="L412" i="51"/>
  <c r="L426" i="51" s="1"/>
  <c r="L427" i="51" s="1"/>
  <c r="L405" i="51"/>
  <c r="L406" i="51" s="1"/>
  <c r="K391" i="51"/>
  <c r="J405" i="51"/>
  <c r="K370" i="51"/>
  <c r="K384" i="51" s="1"/>
  <c r="K385" i="51" s="1"/>
  <c r="L370" i="51"/>
  <c r="L384" i="51" s="1"/>
  <c r="L385" i="51" s="1"/>
  <c r="K352" i="51"/>
  <c r="K362" i="51" s="1"/>
  <c r="K363" i="51" s="1"/>
  <c r="K326" i="51"/>
  <c r="K340" i="51" s="1"/>
  <c r="K341" i="51" s="1"/>
  <c r="L330" i="51"/>
  <c r="L340" i="51" s="1"/>
  <c r="L341" i="51" s="1"/>
  <c r="L309" i="51"/>
  <c r="L319" i="51" s="1"/>
  <c r="L320" i="51" s="1"/>
  <c r="K309" i="51"/>
  <c r="K319" i="51" s="1"/>
  <c r="K320" i="51" s="1"/>
  <c r="L287" i="51"/>
  <c r="L297" i="51" s="1"/>
  <c r="L298" i="51" s="1"/>
  <c r="K266" i="51"/>
  <c r="K276" i="51" s="1"/>
  <c r="K277" i="51" s="1"/>
  <c r="K245" i="51"/>
  <c r="K255" i="51" s="1"/>
  <c r="K256" i="51" s="1"/>
  <c r="L224" i="51"/>
  <c r="L234" i="51" s="1"/>
  <c r="L235" i="51" s="1"/>
  <c r="K224" i="51"/>
  <c r="K234" i="51" s="1"/>
  <c r="K235" i="51" s="1"/>
  <c r="K203" i="51"/>
  <c r="K213" i="51" s="1"/>
  <c r="K214" i="51" s="1"/>
  <c r="L203" i="51"/>
  <c r="L213" i="51" s="1"/>
  <c r="L214" i="51" s="1"/>
  <c r="L182" i="51"/>
  <c r="L192" i="51" s="1"/>
  <c r="L193" i="51" s="1"/>
  <c r="K182" i="51"/>
  <c r="K192" i="51" s="1"/>
  <c r="K193" i="51" s="1"/>
  <c r="L170" i="51"/>
  <c r="L171" i="51" s="1"/>
  <c r="K160" i="51"/>
  <c r="K170" i="51" s="1"/>
  <c r="K171" i="51" s="1"/>
  <c r="L149" i="51"/>
  <c r="K138" i="51"/>
  <c r="K148" i="51" s="1"/>
  <c r="K149" i="51" s="1"/>
  <c r="L117" i="51"/>
  <c r="L127" i="51" s="1"/>
  <c r="L128" i="51" s="1"/>
  <c r="K117" i="51"/>
  <c r="K127" i="51" s="1"/>
  <c r="K128" i="51" s="1"/>
  <c r="K96" i="51"/>
  <c r="K106" i="51" s="1"/>
  <c r="K107" i="51" s="1"/>
  <c r="L96" i="51"/>
  <c r="L106" i="51" s="1"/>
  <c r="L107" i="51" s="1"/>
  <c r="L74" i="51"/>
  <c r="L84" i="51" s="1"/>
  <c r="L85" i="51" s="1"/>
  <c r="L53" i="51"/>
  <c r="L63" i="51" s="1"/>
  <c r="L64" i="51" s="1"/>
  <c r="K53" i="51"/>
  <c r="K63" i="51" s="1"/>
  <c r="K64" i="51" s="1"/>
  <c r="I14" i="42"/>
  <c r="J189" i="49"/>
  <c r="J188" i="49"/>
  <c r="J187" i="49"/>
  <c r="J125" i="49"/>
  <c r="J124" i="49"/>
  <c r="J123" i="49"/>
  <c r="J104" i="49"/>
  <c r="J103" i="49"/>
  <c r="J102" i="49"/>
  <c r="J83" i="49"/>
  <c r="J82" i="49"/>
  <c r="J81" i="49"/>
  <c r="J60" i="49"/>
  <c r="J59" i="49"/>
  <c r="J58" i="49"/>
  <c r="J38" i="49"/>
  <c r="J37" i="49"/>
  <c r="J36" i="49"/>
  <c r="K38" i="49"/>
  <c r="K37" i="49"/>
  <c r="K36" i="49"/>
  <c r="J9" i="49"/>
  <c r="J7" i="49"/>
  <c r="J6" i="49" s="1"/>
  <c r="N9" i="49"/>
  <c r="N7" i="49"/>
  <c r="N6" i="49" s="1"/>
  <c r="K32" i="49" s="1"/>
  <c r="L37" i="42"/>
  <c r="L36" i="42"/>
  <c r="L32" i="42"/>
  <c r="K38" i="42"/>
  <c r="K37" i="42"/>
  <c r="K36" i="42"/>
  <c r="J38" i="42"/>
  <c r="J37" i="42"/>
  <c r="J36" i="42"/>
  <c r="Q5" i="42"/>
  <c r="Q4" i="42" s="1"/>
  <c r="M5" i="42"/>
  <c r="M4" i="42" s="1"/>
  <c r="K32" i="42" s="1"/>
  <c r="I7" i="42"/>
  <c r="J427" i="51" l="1"/>
  <c r="J406" i="51"/>
  <c r="I5" i="42" l="1"/>
  <c r="I4" i="42" s="1"/>
  <c r="J32" i="42" s="1"/>
  <c r="J82" i="42"/>
  <c r="J81" i="42"/>
  <c r="J80" i="42"/>
  <c r="J76" i="42"/>
  <c r="J60" i="42"/>
  <c r="J59" i="42"/>
  <c r="J58" i="42"/>
  <c r="J54" i="42"/>
  <c r="J335" i="51"/>
  <c r="J334" i="51"/>
  <c r="J333" i="51"/>
  <c r="J314" i="51"/>
  <c r="J313" i="51"/>
  <c r="J312" i="51"/>
  <c r="J290" i="51"/>
  <c r="J291" i="51"/>
  <c r="J292" i="51"/>
  <c r="J269" i="51"/>
  <c r="J270" i="51"/>
  <c r="J271" i="51"/>
  <c r="J248" i="51"/>
  <c r="J249" i="51"/>
  <c r="J250" i="51"/>
  <c r="J227" i="51"/>
  <c r="J228" i="51"/>
  <c r="J229" i="51"/>
  <c r="J206" i="51"/>
  <c r="J207" i="51"/>
  <c r="J208" i="51"/>
  <c r="J163" i="51"/>
  <c r="J162" i="51" s="1"/>
  <c r="J164" i="51"/>
  <c r="J165" i="51"/>
  <c r="J141" i="51"/>
  <c r="J142" i="51"/>
  <c r="J143" i="51"/>
  <c r="J120" i="51"/>
  <c r="J121" i="51"/>
  <c r="J119" i="51" s="1"/>
  <c r="J122" i="51"/>
  <c r="J99" i="51"/>
  <c r="J98" i="51" s="1"/>
  <c r="J100" i="51"/>
  <c r="J101" i="51"/>
  <c r="J56" i="51"/>
  <c r="J57" i="51"/>
  <c r="J58" i="51"/>
  <c r="J35" i="51"/>
  <c r="J36" i="51"/>
  <c r="J6" i="51"/>
  <c r="J13" i="51"/>
  <c r="J14" i="51"/>
  <c r="L27" i="39"/>
  <c r="J35" i="39"/>
  <c r="Z16" i="39"/>
  <c r="Z17" i="39"/>
  <c r="Z6" i="39"/>
  <c r="V16" i="39"/>
  <c r="V17" i="39"/>
  <c r="V6" i="39"/>
  <c r="R16" i="39"/>
  <c r="R17" i="39"/>
  <c r="R6" i="39"/>
  <c r="N16" i="39"/>
  <c r="N17" i="39"/>
  <c r="N6" i="39"/>
  <c r="J16" i="39"/>
  <c r="J17" i="39"/>
  <c r="J6" i="39"/>
  <c r="L30" i="45"/>
  <c r="N38" i="45"/>
  <c r="M38" i="45"/>
  <c r="Z6" i="45"/>
  <c r="Z21" i="45" s="1"/>
  <c r="V6" i="45"/>
  <c r="R9" i="45"/>
  <c r="R6" i="45"/>
  <c r="R5" i="45" s="1"/>
  <c r="O10" i="45"/>
  <c r="N6" i="45"/>
  <c r="N5" i="45" s="1"/>
  <c r="N21" i="45" s="1"/>
  <c r="J6" i="45"/>
  <c r="J5" i="45" s="1"/>
  <c r="J21" i="45" s="1"/>
  <c r="M182" i="49"/>
  <c r="J180" i="49"/>
  <c r="M180" i="49" s="1"/>
  <c r="M192" i="49"/>
  <c r="M191" i="49"/>
  <c r="M190" i="49"/>
  <c r="M189" i="49"/>
  <c r="M188" i="49"/>
  <c r="M187" i="49"/>
  <c r="J186" i="49"/>
  <c r="J193" i="49" s="1"/>
  <c r="M183" i="49"/>
  <c r="Q28" i="42"/>
  <c r="M185" i="49"/>
  <c r="M181" i="49"/>
  <c r="M60" i="49"/>
  <c r="M125" i="49"/>
  <c r="M124" i="49"/>
  <c r="M118" i="49"/>
  <c r="M97" i="49"/>
  <c r="M83" i="49"/>
  <c r="M82" i="49"/>
  <c r="M38" i="49"/>
  <c r="K151" i="49"/>
  <c r="J151" i="49"/>
  <c r="M150" i="49"/>
  <c r="M149" i="49"/>
  <c r="M148" i="49"/>
  <c r="M147" i="49"/>
  <c r="M146" i="49"/>
  <c r="M145" i="49"/>
  <c r="M144" i="49"/>
  <c r="M143" i="49"/>
  <c r="M142" i="49"/>
  <c r="M141" i="49"/>
  <c r="M140" i="49"/>
  <c r="M139" i="49"/>
  <c r="M138" i="49"/>
  <c r="M137" i="49"/>
  <c r="M128" i="49"/>
  <c r="M127" i="49"/>
  <c r="M126" i="49"/>
  <c r="M123" i="49"/>
  <c r="J122" i="49"/>
  <c r="J129" i="49" s="1"/>
  <c r="M119" i="49"/>
  <c r="M107" i="49"/>
  <c r="M106" i="49"/>
  <c r="M105" i="49"/>
  <c r="M104" i="49"/>
  <c r="M103" i="49"/>
  <c r="M102" i="49"/>
  <c r="M100" i="49"/>
  <c r="M98" i="49"/>
  <c r="M96" i="49"/>
  <c r="J95" i="49"/>
  <c r="M95" i="49" s="1"/>
  <c r="M86" i="49"/>
  <c r="M85" i="49"/>
  <c r="M84" i="49"/>
  <c r="M81" i="49"/>
  <c r="M77" i="49"/>
  <c r="M76" i="49"/>
  <c r="J74" i="49"/>
  <c r="M63" i="49"/>
  <c r="M62" i="49"/>
  <c r="M61" i="49"/>
  <c r="M59" i="49"/>
  <c r="M54" i="49"/>
  <c r="M53" i="49"/>
  <c r="M52" i="49"/>
  <c r="J51" i="49"/>
  <c r="M51" i="49" s="1"/>
  <c r="L43" i="49"/>
  <c r="K41" i="49"/>
  <c r="M41" i="49" s="1"/>
  <c r="M40" i="49"/>
  <c r="K39" i="49"/>
  <c r="M39" i="49" s="1"/>
  <c r="K35" i="49"/>
  <c r="K42" i="49" s="1"/>
  <c r="M32" i="49"/>
  <c r="K31" i="49"/>
  <c r="M31" i="49" s="1"/>
  <c r="N20" i="49"/>
  <c r="J20" i="49"/>
  <c r="J53" i="42"/>
  <c r="J85" i="42"/>
  <c r="J83" i="42"/>
  <c r="L41" i="42"/>
  <c r="M36" i="49"/>
  <c r="M122" i="49"/>
  <c r="M129" i="49"/>
  <c r="J101" i="49"/>
  <c r="M37" i="49"/>
  <c r="J57" i="49"/>
  <c r="J80" i="49"/>
  <c r="M80" i="49" s="1"/>
  <c r="J116" i="49"/>
  <c r="M116" i="49" s="1"/>
  <c r="M56" i="49"/>
  <c r="J35" i="49"/>
  <c r="J42" i="49" s="1"/>
  <c r="M58" i="49"/>
  <c r="M74" i="49"/>
  <c r="M75" i="49"/>
  <c r="M117" i="49"/>
  <c r="M121" i="49"/>
  <c r="M79" i="49"/>
  <c r="O257" i="45"/>
  <c r="J256" i="45"/>
  <c r="O256" i="45" s="1"/>
  <c r="O255" i="45"/>
  <c r="O254" i="45"/>
  <c r="O249" i="45"/>
  <c r="O247" i="45"/>
  <c r="O244" i="45"/>
  <c r="N243" i="45"/>
  <c r="N260" i="45" s="1"/>
  <c r="M243" i="45"/>
  <c r="M260" i="45" s="1"/>
  <c r="L243" i="45"/>
  <c r="L260" i="45" s="1"/>
  <c r="K243" i="45"/>
  <c r="K260" i="45" s="1"/>
  <c r="L233" i="45"/>
  <c r="K233" i="45"/>
  <c r="O232" i="45"/>
  <c r="N231" i="45"/>
  <c r="M231" i="45"/>
  <c r="L231" i="45"/>
  <c r="K231" i="45"/>
  <c r="J231" i="45"/>
  <c r="O230" i="45"/>
  <c r="O229" i="45"/>
  <c r="L225" i="45"/>
  <c r="K225" i="45"/>
  <c r="N224" i="45"/>
  <c r="O224" i="45" s="1"/>
  <c r="N220" i="45"/>
  <c r="J220" i="45"/>
  <c r="J218" i="45" s="1"/>
  <c r="L220" i="45"/>
  <c r="L218" i="45" s="1"/>
  <c r="K220" i="45"/>
  <c r="K218" i="45" s="1"/>
  <c r="O219" i="45"/>
  <c r="L209" i="45"/>
  <c r="K209" i="45"/>
  <c r="J209" i="45"/>
  <c r="O208" i="45"/>
  <c r="N207" i="45"/>
  <c r="M207" i="45"/>
  <c r="L207" i="45"/>
  <c r="K207" i="45"/>
  <c r="J207" i="45"/>
  <c r="O206" i="45"/>
  <c r="O205" i="45"/>
  <c r="L201" i="45"/>
  <c r="K201" i="45"/>
  <c r="J201" i="45"/>
  <c r="O200" i="45"/>
  <c r="N194" i="45"/>
  <c r="M194" i="45"/>
  <c r="L196" i="45"/>
  <c r="L194" i="45" s="1"/>
  <c r="K196" i="45"/>
  <c r="K194" i="45" s="1"/>
  <c r="J196" i="45"/>
  <c r="O195" i="45"/>
  <c r="Q187" i="45"/>
  <c r="P186" i="45"/>
  <c r="P176" i="45" s="1"/>
  <c r="O186" i="45"/>
  <c r="O176" i="45" s="1"/>
  <c r="N186" i="45"/>
  <c r="N176" i="45" s="1"/>
  <c r="M186" i="45"/>
  <c r="L186" i="45"/>
  <c r="L176" i="45" s="1"/>
  <c r="K186" i="45"/>
  <c r="K176" i="45" s="1"/>
  <c r="J186" i="45"/>
  <c r="J176" i="45" s="1"/>
  <c r="Q185" i="45"/>
  <c r="M184" i="45"/>
  <c r="Q184" i="45" s="1"/>
  <c r="Q183" i="45"/>
  <c r="Q182" i="45"/>
  <c r="Q181" i="45"/>
  <c r="Q180" i="45"/>
  <c r="Q179" i="45"/>
  <c r="M178" i="45"/>
  <c r="K178" i="45"/>
  <c r="Q177" i="45"/>
  <c r="N175" i="45"/>
  <c r="N171" i="45" s="1"/>
  <c r="M175" i="45"/>
  <c r="L175" i="45"/>
  <c r="Q174" i="45"/>
  <c r="M173" i="45"/>
  <c r="Q173" i="45" s="1"/>
  <c r="K171" i="45"/>
  <c r="J171" i="45"/>
  <c r="P171" i="45"/>
  <c r="O171" i="45"/>
  <c r="O163" i="45"/>
  <c r="N162" i="45"/>
  <c r="M162" i="45"/>
  <c r="L162" i="45"/>
  <c r="K162" i="45"/>
  <c r="J162" i="45"/>
  <c r="O161" i="45"/>
  <c r="N160" i="45"/>
  <c r="M160" i="45"/>
  <c r="L160" i="45"/>
  <c r="L152" i="45" s="1"/>
  <c r="K160" i="45"/>
  <c r="J160" i="45"/>
  <c r="O159" i="45"/>
  <c r="O158" i="45"/>
  <c r="O157" i="45"/>
  <c r="O156" i="45"/>
  <c r="O155" i="45"/>
  <c r="N154" i="45"/>
  <c r="M154" i="45"/>
  <c r="K154" i="45"/>
  <c r="J154" i="45"/>
  <c r="O153" i="45"/>
  <c r="M151" i="45"/>
  <c r="O151" i="45" s="1"/>
  <c r="O149" i="45"/>
  <c r="N149" i="45"/>
  <c r="N147" i="45" s="1"/>
  <c r="M149" i="45"/>
  <c r="L149" i="45"/>
  <c r="L147" i="45" s="1"/>
  <c r="K149" i="45"/>
  <c r="K147" i="45" s="1"/>
  <c r="J149" i="45"/>
  <c r="J147" i="45" s="1"/>
  <c r="N139" i="45"/>
  <c r="M139" i="45"/>
  <c r="L139" i="45"/>
  <c r="K139" i="45"/>
  <c r="O138" i="45"/>
  <c r="N137" i="45"/>
  <c r="M137" i="45"/>
  <c r="L137" i="45"/>
  <c r="K137" i="45"/>
  <c r="J137" i="45"/>
  <c r="O136" i="45"/>
  <c r="O135" i="45"/>
  <c r="N131" i="45"/>
  <c r="M131" i="45"/>
  <c r="M129" i="45" s="1"/>
  <c r="L131" i="45"/>
  <c r="K131" i="45"/>
  <c r="O130" i="45"/>
  <c r="O127" i="45"/>
  <c r="N126" i="45"/>
  <c r="M126" i="45"/>
  <c r="M124" i="45" s="1"/>
  <c r="L126" i="45"/>
  <c r="K126" i="45"/>
  <c r="O125" i="45"/>
  <c r="K116" i="45"/>
  <c r="O115" i="45"/>
  <c r="N114" i="45"/>
  <c r="M114" i="45"/>
  <c r="L114" i="45"/>
  <c r="K114" i="45"/>
  <c r="J114" i="45"/>
  <c r="O113" i="45"/>
  <c r="O112" i="45"/>
  <c r="K108" i="45"/>
  <c r="O107" i="45"/>
  <c r="N103" i="45"/>
  <c r="N101" i="45" s="1"/>
  <c r="M103" i="45"/>
  <c r="M101" i="45" s="1"/>
  <c r="L103" i="45"/>
  <c r="L101" i="45" s="1"/>
  <c r="K103" i="45"/>
  <c r="K101" i="45" s="1"/>
  <c r="K93" i="45"/>
  <c r="M93" i="45"/>
  <c r="L93" i="45"/>
  <c r="O92" i="45"/>
  <c r="N91" i="45"/>
  <c r="M91" i="45"/>
  <c r="L91" i="45"/>
  <c r="K91" i="45"/>
  <c r="J91" i="45"/>
  <c r="O90" i="45"/>
  <c r="O89" i="45"/>
  <c r="M85" i="45"/>
  <c r="L85" i="45"/>
  <c r="K85" i="45"/>
  <c r="K83" i="45" s="1"/>
  <c r="O84" i="45"/>
  <c r="M82" i="45"/>
  <c r="L82" i="45"/>
  <c r="K80" i="45"/>
  <c r="J80" i="45"/>
  <c r="J78" i="45" s="1"/>
  <c r="N80" i="45"/>
  <c r="N78" i="45" s="1"/>
  <c r="M80" i="45"/>
  <c r="L80" i="45"/>
  <c r="O79" i="45"/>
  <c r="K68" i="45"/>
  <c r="O67" i="45"/>
  <c r="N66" i="45"/>
  <c r="M66" i="45"/>
  <c r="L66" i="45"/>
  <c r="K66" i="45"/>
  <c r="J66" i="45"/>
  <c r="O65" i="45"/>
  <c r="O64" i="45"/>
  <c r="K60" i="45"/>
  <c r="O59" i="45"/>
  <c r="N55" i="45"/>
  <c r="M55" i="45"/>
  <c r="L55" i="45"/>
  <c r="K55" i="45"/>
  <c r="K53" i="45" s="1"/>
  <c r="J55" i="45"/>
  <c r="J53" i="45" s="1"/>
  <c r="O54" i="45"/>
  <c r="K43" i="45"/>
  <c r="O42" i="45"/>
  <c r="N41" i="45"/>
  <c r="L41" i="45"/>
  <c r="K41" i="45"/>
  <c r="J41" i="45"/>
  <c r="O40" i="45"/>
  <c r="O39" i="45"/>
  <c r="K35" i="45"/>
  <c r="O34" i="45"/>
  <c r="N30" i="45"/>
  <c r="M30" i="45"/>
  <c r="K30" i="45"/>
  <c r="J30" i="45"/>
  <c r="J28" i="45" s="1"/>
  <c r="N29" i="45"/>
  <c r="N28" i="45" s="1"/>
  <c r="M29" i="45"/>
  <c r="M28" i="45" s="1"/>
  <c r="K29" i="45"/>
  <c r="K28" i="45" s="1"/>
  <c r="J29" i="45"/>
  <c r="AA20" i="45"/>
  <c r="AA19" i="45"/>
  <c r="AA18" i="45"/>
  <c r="AA17" i="45"/>
  <c r="AA16" i="45"/>
  <c r="AA15" i="45"/>
  <c r="AA14" i="45"/>
  <c r="AA13" i="45"/>
  <c r="AA12" i="45"/>
  <c r="T12" i="45"/>
  <c r="P12" i="45"/>
  <c r="L12" i="45"/>
  <c r="H12" i="45"/>
  <c r="AA11" i="45"/>
  <c r="X11" i="45"/>
  <c r="G11" i="45"/>
  <c r="G13" i="45" s="1"/>
  <c r="AA10" i="45"/>
  <c r="W10" i="45"/>
  <c r="W13" i="45" s="1"/>
  <c r="K10" i="45"/>
  <c r="L11" i="45" s="1"/>
  <c r="T9" i="45"/>
  <c r="AA8" i="45"/>
  <c r="L8" i="45"/>
  <c r="AA7" i="45"/>
  <c r="X7" i="45"/>
  <c r="T7" i="45"/>
  <c r="P7" i="45"/>
  <c r="L7" i="45"/>
  <c r="H7" i="45"/>
  <c r="V21" i="45"/>
  <c r="M53" i="45"/>
  <c r="O198" i="45"/>
  <c r="L28" i="45"/>
  <c r="L53" i="45"/>
  <c r="N218" i="45"/>
  <c r="J126" i="45"/>
  <c r="J124" i="45" s="1"/>
  <c r="M41" i="45"/>
  <c r="O104" i="45"/>
  <c r="O105" i="45"/>
  <c r="O81" i="45"/>
  <c r="N53" i="45"/>
  <c r="L171" i="45"/>
  <c r="M225" i="45"/>
  <c r="M234" i="45" s="1"/>
  <c r="M233" i="45" s="1"/>
  <c r="O56" i="45"/>
  <c r="R21" i="45"/>
  <c r="R22" i="45" s="1"/>
  <c r="AA9" i="45"/>
  <c r="Q172" i="45"/>
  <c r="S13" i="45"/>
  <c r="S14" i="45" s="1"/>
  <c r="J103" i="45"/>
  <c r="J101" i="45" s="1"/>
  <c r="J194" i="45"/>
  <c r="O32" i="45"/>
  <c r="O57" i="45"/>
  <c r="O197" i="45"/>
  <c r="O221" i="45"/>
  <c r="O220" i="45" s="1"/>
  <c r="M218" i="45"/>
  <c r="O222" i="45"/>
  <c r="O31" i="45"/>
  <c r="O245" i="45"/>
  <c r="J243" i="45"/>
  <c r="O246" i="45"/>
  <c r="M116" i="45"/>
  <c r="M209" i="45"/>
  <c r="J79" i="42"/>
  <c r="J86" i="42" s="1"/>
  <c r="L35" i="42"/>
  <c r="L42" i="42" s="1"/>
  <c r="J39" i="42"/>
  <c r="M17" i="42"/>
  <c r="M22" i="42" s="1"/>
  <c r="N96" i="42"/>
  <c r="N93" i="42"/>
  <c r="N107" i="42"/>
  <c r="M96" i="42"/>
  <c r="M93" i="42" s="1"/>
  <c r="M107" i="42" s="1"/>
  <c r="L96" i="42"/>
  <c r="L93" i="42"/>
  <c r="L107" i="42"/>
  <c r="K96" i="42"/>
  <c r="O96" i="42" s="1"/>
  <c r="J96" i="42"/>
  <c r="J93" i="42" s="1"/>
  <c r="J84" i="42"/>
  <c r="J78" i="42"/>
  <c r="J74" i="42"/>
  <c r="J63" i="42"/>
  <c r="J61" i="42"/>
  <c r="J56" i="42"/>
  <c r="J52" i="42"/>
  <c r="J51" i="42" s="1"/>
  <c r="K41" i="42"/>
  <c r="J41" i="42"/>
  <c r="M40" i="42"/>
  <c r="J62" i="42"/>
  <c r="L39" i="42"/>
  <c r="M39" i="42" s="1"/>
  <c r="K39" i="42"/>
  <c r="M37" i="42"/>
  <c r="K35" i="42"/>
  <c r="K42" i="42" s="1"/>
  <c r="L34" i="42"/>
  <c r="K34" i="42"/>
  <c r="L31" i="42"/>
  <c r="L30" i="42"/>
  <c r="K30" i="42"/>
  <c r="J30" i="42"/>
  <c r="J34" i="42" s="1"/>
  <c r="M20" i="42"/>
  <c r="I20" i="42"/>
  <c r="Q18" i="42"/>
  <c r="I18" i="42"/>
  <c r="K14" i="42"/>
  <c r="G14" i="42"/>
  <c r="Q20" i="42"/>
  <c r="J31" i="42"/>
  <c r="G12" i="42"/>
  <c r="K11" i="42"/>
  <c r="G11" i="42"/>
  <c r="Q17" i="42"/>
  <c r="Q24" i="42" s="1"/>
  <c r="K10" i="42"/>
  <c r="I19" i="42"/>
  <c r="G10" i="42"/>
  <c r="O9" i="42"/>
  <c r="K9" i="42"/>
  <c r="G9" i="42"/>
  <c r="K8" i="42"/>
  <c r="G8" i="42"/>
  <c r="K5" i="42"/>
  <c r="G5" i="42"/>
  <c r="W4" i="42"/>
  <c r="K4" i="42"/>
  <c r="G4" i="42"/>
  <c r="J57" i="42"/>
  <c r="J64" i="42" s="1"/>
  <c r="M38" i="42"/>
  <c r="J35" i="42"/>
  <c r="M36" i="42"/>
  <c r="Y17" i="42"/>
  <c r="Y24" i="42" s="1"/>
  <c r="U17" i="42"/>
  <c r="U18" i="42" s="1"/>
  <c r="M32" i="42"/>
  <c r="M19" i="42"/>
  <c r="I17" i="42"/>
  <c r="J75" i="42"/>
  <c r="Q19" i="42"/>
  <c r="K31" i="42"/>
  <c r="M18" i="42"/>
  <c r="N47" i="39"/>
  <c r="M49" i="39"/>
  <c r="M27" i="39"/>
  <c r="M25" i="39" s="1"/>
  <c r="L25" i="39"/>
  <c r="J47" i="39"/>
  <c r="J27" i="39"/>
  <c r="J18" i="39"/>
  <c r="J19" i="39" s="1"/>
  <c r="O61" i="39"/>
  <c r="N60" i="39"/>
  <c r="M60" i="39"/>
  <c r="L60" i="39"/>
  <c r="K60" i="39"/>
  <c r="J60" i="39"/>
  <c r="O59" i="39"/>
  <c r="O58" i="39"/>
  <c r="O51" i="39"/>
  <c r="L49" i="39"/>
  <c r="K47" i="39"/>
  <c r="O48" i="39"/>
  <c r="M47" i="39"/>
  <c r="O39" i="39"/>
  <c r="N38" i="39"/>
  <c r="M38" i="39"/>
  <c r="L38" i="39"/>
  <c r="K38" i="39"/>
  <c r="J38" i="39"/>
  <c r="O37" i="39"/>
  <c r="O36" i="39"/>
  <c r="O29" i="39"/>
  <c r="N27" i="39"/>
  <c r="N25" i="39" s="1"/>
  <c r="K27" i="39"/>
  <c r="K25" i="39" s="1"/>
  <c r="O26" i="39"/>
  <c r="V18" i="39"/>
  <c r="N18" i="39"/>
  <c r="AA17" i="39"/>
  <c r="AA16" i="39"/>
  <c r="AA15" i="39"/>
  <c r="AA14" i="39"/>
  <c r="AA13" i="39"/>
  <c r="AA12" i="39"/>
  <c r="AA11" i="39"/>
  <c r="AA10" i="39"/>
  <c r="AA8" i="39"/>
  <c r="AA7" i="39"/>
  <c r="X7" i="39"/>
  <c r="W7" i="39"/>
  <c r="N55" i="39" s="1"/>
  <c r="S7" i="39"/>
  <c r="M55" i="39" s="1"/>
  <c r="O7" i="39"/>
  <c r="P10" i="39" s="1"/>
  <c r="K7" i="39"/>
  <c r="K35" i="39" s="1"/>
  <c r="G7" i="39"/>
  <c r="J55" i="39" s="1"/>
  <c r="AA5" i="39"/>
  <c r="X5" i="39"/>
  <c r="J42" i="42"/>
  <c r="Z18" i="39"/>
  <c r="AA6" i="39"/>
  <c r="M31" i="42"/>
  <c r="N49" i="39"/>
  <c r="O60" i="39"/>
  <c r="R18" i="39"/>
  <c r="AA9" i="39"/>
  <c r="J49" i="39"/>
  <c r="O28" i="39"/>
  <c r="L47" i="39"/>
  <c r="O50" i="39"/>
  <c r="K49" i="39"/>
  <c r="M62" i="39"/>
  <c r="AA55" i="16"/>
  <c r="AA56" i="16"/>
  <c r="AA57" i="16"/>
  <c r="AA58" i="16"/>
  <c r="AA59" i="16"/>
  <c r="AA60" i="16"/>
  <c r="AA61" i="16"/>
  <c r="AA62" i="16"/>
  <c r="AA64" i="16"/>
  <c r="X54" i="16"/>
  <c r="X52" i="16"/>
  <c r="P54" i="16"/>
  <c r="P52" i="16"/>
  <c r="G54" i="16"/>
  <c r="H52" i="16"/>
  <c r="H54" i="16"/>
  <c r="H57" i="16"/>
  <c r="H56" i="16"/>
  <c r="O72" i="16"/>
  <c r="O82" i="16"/>
  <c r="O83" i="16"/>
  <c r="O93" i="16"/>
  <c r="O103" i="16"/>
  <c r="O104" i="16"/>
  <c r="N108" i="16"/>
  <c r="N107" i="16"/>
  <c r="N106" i="16"/>
  <c r="N105" i="16"/>
  <c r="N102" i="16"/>
  <c r="N101" i="16"/>
  <c r="N100" i="16"/>
  <c r="N95" i="16"/>
  <c r="Z52" i="16"/>
  <c r="N96" i="16"/>
  <c r="N92" i="16"/>
  <c r="Z63" i="16"/>
  <c r="N98" i="16"/>
  <c r="M100" i="16"/>
  <c r="S54" i="16"/>
  <c r="M102" i="16"/>
  <c r="V52" i="16"/>
  <c r="V63" i="16"/>
  <c r="M77" i="16"/>
  <c r="L108" i="16"/>
  <c r="L107" i="16"/>
  <c r="L87" i="16"/>
  <c r="L86" i="16"/>
  <c r="L106" i="16"/>
  <c r="L105" i="16"/>
  <c r="L85" i="16"/>
  <c r="L84" i="16"/>
  <c r="L101" i="16"/>
  <c r="L80" i="16"/>
  <c r="L100" i="16"/>
  <c r="L79" i="16"/>
  <c r="L95" i="16"/>
  <c r="N73" i="16"/>
  <c r="N71" i="16"/>
  <c r="L74" i="16"/>
  <c r="L73" i="16"/>
  <c r="R52" i="16"/>
  <c r="L96" i="16"/>
  <c r="R63" i="16"/>
  <c r="L98" i="16"/>
  <c r="K108" i="16"/>
  <c r="K87" i="16"/>
  <c r="K98" i="16"/>
  <c r="K105" i="16"/>
  <c r="K85" i="16"/>
  <c r="K84" i="16"/>
  <c r="K106" i="16"/>
  <c r="K102" i="16"/>
  <c r="K81" i="16"/>
  <c r="K101" i="16"/>
  <c r="K80" i="16"/>
  <c r="K95" i="16"/>
  <c r="K94" i="16"/>
  <c r="K74" i="16"/>
  <c r="K73" i="16"/>
  <c r="K54" i="16"/>
  <c r="K100" i="16"/>
  <c r="N52" i="16"/>
  <c r="N63" i="16"/>
  <c r="K77" i="16"/>
  <c r="J84" i="16"/>
  <c r="J108" i="16"/>
  <c r="J107" i="16"/>
  <c r="J87" i="16"/>
  <c r="J85" i="16"/>
  <c r="J106" i="16"/>
  <c r="J105" i="16"/>
  <c r="J102" i="16"/>
  <c r="O102" i="16"/>
  <c r="J101" i="16"/>
  <c r="J100" i="16"/>
  <c r="J81" i="16"/>
  <c r="J80" i="16"/>
  <c r="J79" i="16"/>
  <c r="J77" i="16"/>
  <c r="J95" i="16"/>
  <c r="J94" i="16"/>
  <c r="N94" i="16"/>
  <c r="L94" i="16"/>
  <c r="L99" i="16"/>
  <c r="J75" i="16"/>
  <c r="J74" i="16"/>
  <c r="J73" i="16"/>
  <c r="J71" i="16"/>
  <c r="J63" i="16"/>
  <c r="J98" i="16"/>
  <c r="J52" i="16"/>
  <c r="J96" i="16"/>
  <c r="N208" i="16"/>
  <c r="N205" i="16"/>
  <c r="M205" i="16"/>
  <c r="L205" i="16"/>
  <c r="K205" i="16"/>
  <c r="J205" i="16"/>
  <c r="N204" i="16"/>
  <c r="M204" i="16"/>
  <c r="K204" i="16"/>
  <c r="J204" i="16"/>
  <c r="N203" i="16"/>
  <c r="M203" i="16"/>
  <c r="L203" i="16"/>
  <c r="K203" i="16"/>
  <c r="J203" i="16"/>
  <c r="N202" i="16"/>
  <c r="M202" i="16"/>
  <c r="L202" i="16"/>
  <c r="K202" i="16"/>
  <c r="J202" i="16"/>
  <c r="L201" i="16"/>
  <c r="L207" i="16"/>
  <c r="N198" i="16"/>
  <c r="M198" i="16"/>
  <c r="L198" i="16"/>
  <c r="N197" i="16"/>
  <c r="L197" i="16"/>
  <c r="K197" i="16"/>
  <c r="J197" i="16"/>
  <c r="K196" i="16"/>
  <c r="K200" i="16"/>
  <c r="R186" i="16"/>
  <c r="J186" i="16"/>
  <c r="J185" i="16"/>
  <c r="Z182" i="16"/>
  <c r="N196" i="16"/>
  <c r="N195" i="16"/>
  <c r="V182" i="16"/>
  <c r="M196" i="16"/>
  <c r="R182" i="16"/>
  <c r="L196" i="16"/>
  <c r="J182" i="16"/>
  <c r="R181" i="16"/>
  <c r="R185" i="16"/>
  <c r="L181" i="16"/>
  <c r="H181" i="16"/>
  <c r="Z180" i="16"/>
  <c r="V180" i="16"/>
  <c r="V181" i="16"/>
  <c r="N180" i="16"/>
  <c r="N181" i="16"/>
  <c r="N185" i="16"/>
  <c r="J180" i="16"/>
  <c r="H179" i="16"/>
  <c r="V178" i="16"/>
  <c r="M197" i="16"/>
  <c r="L178" i="16"/>
  <c r="H178" i="16"/>
  <c r="V177" i="16"/>
  <c r="N177" i="16"/>
  <c r="L177" i="16"/>
  <c r="H177" i="16"/>
  <c r="L176" i="16"/>
  <c r="H176" i="16"/>
  <c r="Z175" i="16"/>
  <c r="N175" i="16"/>
  <c r="N186" i="16"/>
  <c r="L175" i="16"/>
  <c r="H175" i="16"/>
  <c r="L172" i="16"/>
  <c r="H172" i="16"/>
  <c r="X171" i="16"/>
  <c r="V171" i="16"/>
  <c r="T171" i="16"/>
  <c r="R171" i="16"/>
  <c r="N171" i="16"/>
  <c r="L171" i="16"/>
  <c r="J171" i="16"/>
  <c r="J187" i="16"/>
  <c r="H171" i="16"/>
  <c r="Z168" i="16"/>
  <c r="M157" i="16"/>
  <c r="L154" i="16"/>
  <c r="K154" i="16"/>
  <c r="J154" i="16"/>
  <c r="L153" i="16"/>
  <c r="K153" i="16"/>
  <c r="J153" i="16"/>
  <c r="L152" i="16"/>
  <c r="K152" i="16"/>
  <c r="J152" i="16"/>
  <c r="L151" i="16"/>
  <c r="K151" i="16"/>
  <c r="K150" i="16"/>
  <c r="K156" i="16"/>
  <c r="J151" i="16"/>
  <c r="L146" i="16"/>
  <c r="K146" i="16"/>
  <c r="J146" i="16"/>
  <c r="L145" i="16"/>
  <c r="L149" i="16"/>
  <c r="J145" i="16"/>
  <c r="S137" i="16"/>
  <c r="N136" i="16"/>
  <c r="K145" i="16"/>
  <c r="K149" i="16"/>
  <c r="S135" i="16"/>
  <c r="R135" i="16"/>
  <c r="L147" i="16"/>
  <c r="S134" i="16"/>
  <c r="J134" i="16"/>
  <c r="S133" i="16"/>
  <c r="H133" i="16"/>
  <c r="S132" i="16"/>
  <c r="H132" i="16"/>
  <c r="S131" i="16"/>
  <c r="H131" i="16"/>
  <c r="S130" i="16"/>
  <c r="S129" i="16"/>
  <c r="S128" i="16"/>
  <c r="R128" i="16"/>
  <c r="R138" i="16"/>
  <c r="J128" i="16"/>
  <c r="S127" i="16"/>
  <c r="S126" i="16"/>
  <c r="N125" i="16"/>
  <c r="N138" i="16"/>
  <c r="J125" i="16"/>
  <c r="J147" i="16"/>
  <c r="N78" i="16"/>
  <c r="N76" i="16"/>
  <c r="T58" i="16"/>
  <c r="L58" i="16"/>
  <c r="H58" i="16"/>
  <c r="T57" i="16"/>
  <c r="L57" i="16"/>
  <c r="AA54" i="16"/>
  <c r="AA53" i="16"/>
  <c r="J65" i="16"/>
  <c r="J66" i="16"/>
  <c r="N40" i="16"/>
  <c r="M40" i="16"/>
  <c r="L40" i="16"/>
  <c r="K40" i="16"/>
  <c r="J40" i="16"/>
  <c r="N39" i="16"/>
  <c r="N35" i="16"/>
  <c r="L35" i="16"/>
  <c r="K35" i="16"/>
  <c r="J35" i="16"/>
  <c r="N34" i="16"/>
  <c r="M34" i="16"/>
  <c r="L34" i="16"/>
  <c r="K34" i="16"/>
  <c r="J34" i="16"/>
  <c r="N33" i="16"/>
  <c r="M33" i="16"/>
  <c r="L33" i="16"/>
  <c r="K33" i="16"/>
  <c r="J33" i="16"/>
  <c r="M29" i="16"/>
  <c r="L28" i="16"/>
  <c r="K28" i="16"/>
  <c r="AA20" i="16"/>
  <c r="N19" i="16"/>
  <c r="Z18" i="16"/>
  <c r="V18" i="16"/>
  <c r="R18" i="16"/>
  <c r="J18" i="16"/>
  <c r="AA18" i="16"/>
  <c r="AA17" i="16"/>
  <c r="Z16" i="16"/>
  <c r="N28" i="16"/>
  <c r="V16" i="16"/>
  <c r="M28" i="16"/>
  <c r="J16" i="16"/>
  <c r="J28" i="16"/>
  <c r="AA15" i="16"/>
  <c r="T14" i="16"/>
  <c r="P14" i="16"/>
  <c r="L14" i="16"/>
  <c r="H14" i="16"/>
  <c r="J14" i="16"/>
  <c r="AA14" i="16"/>
  <c r="AA13" i="16"/>
  <c r="X13" i="16"/>
  <c r="P13" i="16"/>
  <c r="L13" i="16"/>
  <c r="H13" i="16"/>
  <c r="AA12" i="16"/>
  <c r="H12" i="16"/>
  <c r="X11" i="16"/>
  <c r="T11" i="16"/>
  <c r="P11" i="16"/>
  <c r="N11" i="16"/>
  <c r="L11" i="16"/>
  <c r="J11" i="16"/>
  <c r="H11" i="16"/>
  <c r="AA10" i="16"/>
  <c r="X10" i="16"/>
  <c r="T10" i="16"/>
  <c r="P10" i="16"/>
  <c r="L10" i="16"/>
  <c r="H10" i="16"/>
  <c r="X9" i="16"/>
  <c r="T9" i="16"/>
  <c r="R9" i="16"/>
  <c r="AA9" i="16"/>
  <c r="P9" i="16"/>
  <c r="L9" i="16"/>
  <c r="H9" i="16"/>
  <c r="J8" i="16"/>
  <c r="AA8" i="16"/>
  <c r="Z7" i="16"/>
  <c r="N29" i="16"/>
  <c r="X7" i="16"/>
  <c r="T7" i="16"/>
  <c r="R7" i="16"/>
  <c r="L29" i="16"/>
  <c r="P7" i="16"/>
  <c r="N7" i="16"/>
  <c r="K29" i="16"/>
  <c r="L7" i="16"/>
  <c r="J7" i="16"/>
  <c r="H7" i="16"/>
  <c r="L168" i="15"/>
  <c r="R153" i="15"/>
  <c r="R142" i="15"/>
  <c r="N148" i="15"/>
  <c r="N146" i="15"/>
  <c r="J153" i="15"/>
  <c r="J142" i="15"/>
  <c r="V149" i="15"/>
  <c r="M168" i="15"/>
  <c r="V151" i="15"/>
  <c r="V142" i="15"/>
  <c r="V148" i="15"/>
  <c r="N179" i="15"/>
  <c r="N176" i="15"/>
  <c r="N168" i="15"/>
  <c r="O40" i="16"/>
  <c r="Z184" i="16"/>
  <c r="K201" i="16"/>
  <c r="K75" i="16"/>
  <c r="V65" i="16"/>
  <c r="V66" i="16"/>
  <c r="M145" i="16"/>
  <c r="K99" i="16"/>
  <c r="L92" i="16"/>
  <c r="S136" i="16"/>
  <c r="N26" i="16"/>
  <c r="K39" i="16"/>
  <c r="L150" i="16"/>
  <c r="L156" i="16"/>
  <c r="K198" i="16"/>
  <c r="K195" i="16"/>
  <c r="M201" i="16"/>
  <c r="K96" i="16"/>
  <c r="K79" i="16"/>
  <c r="K78" i="16"/>
  <c r="L75" i="16"/>
  <c r="O75" i="16"/>
  <c r="M95" i="16"/>
  <c r="M94" i="16"/>
  <c r="O94" i="16"/>
  <c r="S125" i="16"/>
  <c r="S138" i="16"/>
  <c r="L208" i="16"/>
  <c r="O100" i="16"/>
  <c r="K71" i="16"/>
  <c r="L200" i="16"/>
  <c r="L195" i="16"/>
  <c r="L209" i="16"/>
  <c r="L210" i="16"/>
  <c r="K26" i="16"/>
  <c r="N21" i="16"/>
  <c r="N22" i="16"/>
  <c r="M147" i="16"/>
  <c r="L167" i="15"/>
  <c r="L171" i="15"/>
  <c r="O34" i="16"/>
  <c r="K147" i="16"/>
  <c r="K144" i="16"/>
  <c r="M151" i="16"/>
  <c r="M153" i="16"/>
  <c r="J198" i="16"/>
  <c r="O202" i="16"/>
  <c r="O203" i="16"/>
  <c r="J99" i="16"/>
  <c r="J97" i="16"/>
  <c r="K92" i="16"/>
  <c r="M96" i="16"/>
  <c r="M92" i="16"/>
  <c r="M80" i="16"/>
  <c r="O80" i="16"/>
  <c r="M106" i="16"/>
  <c r="M105" i="16"/>
  <c r="O105" i="16"/>
  <c r="M108" i="16"/>
  <c r="M107" i="16"/>
  <c r="J29" i="16"/>
  <c r="O29" i="16"/>
  <c r="J138" i="16"/>
  <c r="J139" i="16"/>
  <c r="L148" i="16"/>
  <c r="N187" i="16"/>
  <c r="J86" i="16"/>
  <c r="R65" i="16"/>
  <c r="L78" i="16"/>
  <c r="M75" i="16"/>
  <c r="M101" i="16"/>
  <c r="O101" i="16"/>
  <c r="AA11" i="16"/>
  <c r="V21" i="16"/>
  <c r="V22" i="16"/>
  <c r="M39" i="16"/>
  <c r="M30" i="16"/>
  <c r="J39" i="16"/>
  <c r="J30" i="16"/>
  <c r="J144" i="16"/>
  <c r="M146" i="16"/>
  <c r="J149" i="16"/>
  <c r="M208" i="16"/>
  <c r="O208" i="16"/>
  <c r="R187" i="16"/>
  <c r="L71" i="16"/>
  <c r="M81" i="16"/>
  <c r="O81" i="16"/>
  <c r="M87" i="16"/>
  <c r="M86" i="16"/>
  <c r="M152" i="16"/>
  <c r="O205" i="16"/>
  <c r="M26" i="16"/>
  <c r="J150" i="16"/>
  <c r="M150" i="16"/>
  <c r="M154" i="16"/>
  <c r="M207" i="16"/>
  <c r="AA63" i="16"/>
  <c r="L77" i="16"/>
  <c r="L76" i="16"/>
  <c r="L88" i="16"/>
  <c r="T54" i="16"/>
  <c r="T52" i="16"/>
  <c r="M98" i="16"/>
  <c r="O98" i="16"/>
  <c r="N30" i="16"/>
  <c r="N41" i="16"/>
  <c r="N42" i="16"/>
  <c r="O35" i="16"/>
  <c r="L144" i="16"/>
  <c r="N201" i="16"/>
  <c r="N207" i="16"/>
  <c r="O204" i="16"/>
  <c r="L52" i="16"/>
  <c r="L54" i="16"/>
  <c r="L56" i="16"/>
  <c r="M74" i="16"/>
  <c r="M73" i="16"/>
  <c r="O73" i="16"/>
  <c r="M79" i="16"/>
  <c r="O79" i="16"/>
  <c r="M85" i="16"/>
  <c r="M84" i="16"/>
  <c r="O84" i="16"/>
  <c r="N99" i="16"/>
  <c r="N97" i="16"/>
  <c r="N109" i="16"/>
  <c r="Z65" i="16"/>
  <c r="Z66" i="16"/>
  <c r="K86" i="16"/>
  <c r="K76" i="16"/>
  <c r="K107" i="16"/>
  <c r="K88" i="16"/>
  <c r="L97" i="16"/>
  <c r="J92" i="16"/>
  <c r="O28" i="16"/>
  <c r="O26" i="16"/>
  <c r="N139" i="16"/>
  <c r="N140" i="16"/>
  <c r="J200" i="16"/>
  <c r="K30" i="16"/>
  <c r="K41" i="16"/>
  <c r="K42" i="16"/>
  <c r="K148" i="16"/>
  <c r="K158" i="16"/>
  <c r="M149" i="16"/>
  <c r="M195" i="16"/>
  <c r="O197" i="16"/>
  <c r="L26" i="16"/>
  <c r="L199" i="16"/>
  <c r="R140" i="16"/>
  <c r="R139" i="16"/>
  <c r="L160" i="16"/>
  <c r="AA7" i="16"/>
  <c r="O33" i="16"/>
  <c r="J196" i="16"/>
  <c r="N200" i="16"/>
  <c r="K207" i="16"/>
  <c r="K199" i="16"/>
  <c r="Z21" i="16"/>
  <c r="Z22" i="16"/>
  <c r="R66" i="16"/>
  <c r="J140" i="16"/>
  <c r="V184" i="16"/>
  <c r="M200" i="16"/>
  <c r="L39" i="16"/>
  <c r="L30" i="16"/>
  <c r="R184" i="16"/>
  <c r="J201" i="16"/>
  <c r="J184" i="16"/>
  <c r="J189" i="16"/>
  <c r="J21" i="16"/>
  <c r="N65" i="16"/>
  <c r="N66" i="16"/>
  <c r="J78" i="16"/>
  <c r="J76" i="16"/>
  <c r="AA16" i="16"/>
  <c r="AA19" i="16"/>
  <c r="R21" i="16"/>
  <c r="R22" i="16"/>
  <c r="AA52" i="16"/>
  <c r="N184" i="16"/>
  <c r="N189" i="16"/>
  <c r="Z146" i="15"/>
  <c r="Z153" i="15"/>
  <c r="R158" i="15"/>
  <c r="R157" i="15"/>
  <c r="V153" i="15"/>
  <c r="R152" i="15"/>
  <c r="L179" i="15"/>
  <c r="Z151" i="15"/>
  <c r="V152" i="15"/>
  <c r="M179" i="15"/>
  <c r="X142" i="15"/>
  <c r="T142" i="15"/>
  <c r="R99" i="15"/>
  <c r="J99" i="15"/>
  <c r="J96" i="15"/>
  <c r="N40" i="15"/>
  <c r="M40" i="15"/>
  <c r="L40" i="15"/>
  <c r="K40" i="15"/>
  <c r="J40" i="15"/>
  <c r="N35" i="15"/>
  <c r="L35" i="15"/>
  <c r="K35" i="15"/>
  <c r="J35" i="15"/>
  <c r="N34" i="15"/>
  <c r="M34" i="15"/>
  <c r="L34" i="15"/>
  <c r="K34" i="15"/>
  <c r="J34" i="15"/>
  <c r="N33" i="15"/>
  <c r="M33" i="15"/>
  <c r="L33" i="15"/>
  <c r="K33" i="15"/>
  <c r="J33" i="15"/>
  <c r="M29" i="15"/>
  <c r="L28" i="15"/>
  <c r="K28" i="15"/>
  <c r="V63" i="15"/>
  <c r="V52" i="15"/>
  <c r="R54" i="15"/>
  <c r="J7" i="15"/>
  <c r="Z18" i="15"/>
  <c r="Z7" i="15"/>
  <c r="N29" i="15"/>
  <c r="Z16" i="15"/>
  <c r="N28" i="15"/>
  <c r="V18" i="15"/>
  <c r="V16" i="15"/>
  <c r="M28" i="15"/>
  <c r="K97" i="16"/>
  <c r="K109" i="16"/>
  <c r="K110" i="16"/>
  <c r="O108" i="16"/>
  <c r="K209" i="16"/>
  <c r="K210" i="16"/>
  <c r="L158" i="16"/>
  <c r="L159" i="16"/>
  <c r="M199" i="16"/>
  <c r="M209" i="16"/>
  <c r="M211" i="16"/>
  <c r="N199" i="16"/>
  <c r="N209" i="16"/>
  <c r="N212" i="16"/>
  <c r="J26" i="16"/>
  <c r="J41" i="16"/>
  <c r="J42" i="16"/>
  <c r="M71" i="16"/>
  <c r="O71" i="16"/>
  <c r="M26" i="15"/>
  <c r="R156" i="15"/>
  <c r="O198" i="16"/>
  <c r="O95" i="16"/>
  <c r="O92" i="16"/>
  <c r="J156" i="16"/>
  <c r="O77" i="16"/>
  <c r="O106" i="16"/>
  <c r="M78" i="16"/>
  <c r="M76" i="16"/>
  <c r="O76" i="16"/>
  <c r="O74" i="16"/>
  <c r="O87" i="16"/>
  <c r="O86" i="16"/>
  <c r="O99" i="16"/>
  <c r="O96" i="16"/>
  <c r="Z155" i="15"/>
  <c r="N167" i="15"/>
  <c r="N171" i="15"/>
  <c r="N110" i="16"/>
  <c r="M99" i="16"/>
  <c r="M97" i="16"/>
  <c r="M109" i="16"/>
  <c r="O85" i="16"/>
  <c r="M167" i="15"/>
  <c r="M171" i="15"/>
  <c r="O39" i="16"/>
  <c r="O30" i="16"/>
  <c r="M41" i="16"/>
  <c r="M42" i="16"/>
  <c r="M144" i="16"/>
  <c r="O107" i="16"/>
  <c r="L89" i="16"/>
  <c r="M88" i="16"/>
  <c r="M89" i="16"/>
  <c r="K112" i="16"/>
  <c r="K89" i="16"/>
  <c r="L109" i="16"/>
  <c r="L110" i="16"/>
  <c r="J109" i="16"/>
  <c r="J22" i="16"/>
  <c r="AA22" i="16"/>
  <c r="AA21" i="16"/>
  <c r="V186" i="16"/>
  <c r="V185" i="16"/>
  <c r="J207" i="16"/>
  <c r="O207" i="16"/>
  <c r="O201" i="16"/>
  <c r="O200" i="16"/>
  <c r="O196" i="16"/>
  <c r="P176" i="16"/>
  <c r="J195" i="16"/>
  <c r="K160" i="16"/>
  <c r="K159" i="16"/>
  <c r="N88" i="16"/>
  <c r="N89" i="16"/>
  <c r="AA65" i="16"/>
  <c r="L41" i="16"/>
  <c r="L42" i="16"/>
  <c r="V155" i="15"/>
  <c r="R155" i="15"/>
  <c r="N39" i="15"/>
  <c r="N30" i="15"/>
  <c r="O34" i="15"/>
  <c r="O35" i="15"/>
  <c r="M39" i="15"/>
  <c r="M30" i="15"/>
  <c r="M41" i="15"/>
  <c r="M42" i="15"/>
  <c r="O40" i="15"/>
  <c r="N26" i="15"/>
  <c r="O33" i="15"/>
  <c r="R9" i="15"/>
  <c r="R7" i="15"/>
  <c r="L29" i="15"/>
  <c r="L26" i="15"/>
  <c r="N19" i="15"/>
  <c r="N11" i="15"/>
  <c r="N7" i="15"/>
  <c r="K29" i="15"/>
  <c r="K26" i="15"/>
  <c r="J11" i="15"/>
  <c r="J18" i="15"/>
  <c r="J16" i="15"/>
  <c r="J8" i="15"/>
  <c r="O179" i="15"/>
  <c r="M176" i="15"/>
  <c r="L176" i="15"/>
  <c r="K176" i="15"/>
  <c r="J176" i="15"/>
  <c r="N175" i="15"/>
  <c r="M175" i="15"/>
  <c r="K175" i="15"/>
  <c r="J175" i="15"/>
  <c r="N174" i="15"/>
  <c r="M174" i="15"/>
  <c r="L174" i="15"/>
  <c r="K174" i="15"/>
  <c r="J174" i="15"/>
  <c r="N173" i="15"/>
  <c r="M173" i="15"/>
  <c r="L173" i="15"/>
  <c r="K173" i="15"/>
  <c r="J173" i="15"/>
  <c r="K168" i="15"/>
  <c r="J168" i="15"/>
  <c r="N157" i="15"/>
  <c r="J157" i="15"/>
  <c r="J156" i="15"/>
  <c r="L152" i="15"/>
  <c r="H152" i="15"/>
  <c r="N151" i="15"/>
  <c r="N152" i="15"/>
  <c r="N156" i="15"/>
  <c r="J151" i="15"/>
  <c r="H150" i="15"/>
  <c r="L149" i="15"/>
  <c r="H149" i="15"/>
  <c r="L148" i="15"/>
  <c r="H148" i="15"/>
  <c r="L147" i="15"/>
  <c r="H147" i="15"/>
  <c r="L146" i="15"/>
  <c r="H146" i="15"/>
  <c r="L143" i="15"/>
  <c r="H143" i="15"/>
  <c r="N142" i="15"/>
  <c r="L142" i="15"/>
  <c r="H142" i="15"/>
  <c r="M128" i="15"/>
  <c r="L125" i="15"/>
  <c r="K125" i="15"/>
  <c r="J125" i="15"/>
  <c r="L124" i="15"/>
  <c r="K124" i="15"/>
  <c r="J124" i="15"/>
  <c r="L123" i="15"/>
  <c r="K123" i="15"/>
  <c r="J123" i="15"/>
  <c r="L122" i="15"/>
  <c r="K122" i="15"/>
  <c r="J122" i="15"/>
  <c r="L117" i="15"/>
  <c r="K117" i="15"/>
  <c r="J117" i="15"/>
  <c r="S108" i="15"/>
  <c r="L116" i="15"/>
  <c r="N107" i="15"/>
  <c r="R106" i="15"/>
  <c r="S106" i="15"/>
  <c r="J105" i="15"/>
  <c r="S104" i="15"/>
  <c r="H104" i="15"/>
  <c r="S103" i="15"/>
  <c r="H103" i="15"/>
  <c r="S102" i="15"/>
  <c r="H102" i="15"/>
  <c r="S101" i="15"/>
  <c r="S100" i="15"/>
  <c r="S99" i="15"/>
  <c r="S98" i="15"/>
  <c r="S97" i="15"/>
  <c r="N96" i="15"/>
  <c r="K118" i="15"/>
  <c r="K83" i="15"/>
  <c r="J83" i="15"/>
  <c r="N79" i="15"/>
  <c r="M79" i="15"/>
  <c r="K79" i="15"/>
  <c r="J79" i="15"/>
  <c r="N78" i="15"/>
  <c r="M78" i="15"/>
  <c r="L78" i="15"/>
  <c r="K78" i="15"/>
  <c r="J78" i="15"/>
  <c r="N77" i="15"/>
  <c r="M77" i="15"/>
  <c r="L77" i="15"/>
  <c r="K77" i="15"/>
  <c r="J77" i="15"/>
  <c r="N72" i="15"/>
  <c r="M72" i="15"/>
  <c r="L72" i="15"/>
  <c r="K72" i="15"/>
  <c r="J72" i="15"/>
  <c r="AA64" i="15"/>
  <c r="Z63" i="15"/>
  <c r="M75" i="15"/>
  <c r="R63" i="15"/>
  <c r="L75" i="15"/>
  <c r="N63" i="15"/>
  <c r="K75" i="15"/>
  <c r="J63" i="15"/>
  <c r="J75" i="15"/>
  <c r="AA62" i="15"/>
  <c r="AA61" i="15"/>
  <c r="AA60" i="15"/>
  <c r="Z59" i="15"/>
  <c r="N59" i="15"/>
  <c r="J59" i="15"/>
  <c r="AA58" i="15"/>
  <c r="X58" i="15"/>
  <c r="T58" i="15"/>
  <c r="P58" i="15"/>
  <c r="L58" i="15"/>
  <c r="H58" i="15"/>
  <c r="AA57" i="15"/>
  <c r="X57" i="15"/>
  <c r="T57" i="15"/>
  <c r="P57" i="15"/>
  <c r="L57" i="15"/>
  <c r="H57" i="15"/>
  <c r="AA56" i="15"/>
  <c r="X56" i="15"/>
  <c r="T56" i="15"/>
  <c r="L56" i="15"/>
  <c r="H56" i="15"/>
  <c r="AA55" i="15"/>
  <c r="X55" i="15"/>
  <c r="T55" i="15"/>
  <c r="P55" i="15"/>
  <c r="L55" i="15"/>
  <c r="H55" i="15"/>
  <c r="AA54" i="15"/>
  <c r="X54" i="15"/>
  <c r="L54" i="15"/>
  <c r="H54" i="15"/>
  <c r="AA53" i="15"/>
  <c r="Z52" i="15"/>
  <c r="N73" i="15"/>
  <c r="X52" i="15"/>
  <c r="M73" i="15"/>
  <c r="T52" i="15"/>
  <c r="R52" i="15"/>
  <c r="L73" i="15"/>
  <c r="P52" i="15"/>
  <c r="N52" i="15"/>
  <c r="K73" i="15"/>
  <c r="L52" i="15"/>
  <c r="J52" i="15"/>
  <c r="J73" i="15"/>
  <c r="H52" i="15"/>
  <c r="R18" i="15"/>
  <c r="AA17" i="15"/>
  <c r="AA15" i="15"/>
  <c r="T14" i="15"/>
  <c r="P14" i="15"/>
  <c r="L14" i="15"/>
  <c r="H14" i="15"/>
  <c r="J14" i="15"/>
  <c r="AA14" i="15"/>
  <c r="X13" i="15"/>
  <c r="P13" i="15"/>
  <c r="L13" i="15"/>
  <c r="H13" i="15"/>
  <c r="AA12" i="15"/>
  <c r="H12" i="15"/>
  <c r="X11" i="15"/>
  <c r="T11" i="15"/>
  <c r="P11" i="15"/>
  <c r="L11" i="15"/>
  <c r="H11" i="15"/>
  <c r="AA10" i="15"/>
  <c r="X10" i="15"/>
  <c r="T10" i="15"/>
  <c r="P10" i="15"/>
  <c r="L10" i="15"/>
  <c r="H10" i="15"/>
  <c r="X9" i="15"/>
  <c r="T9" i="15"/>
  <c r="P9" i="15"/>
  <c r="L9" i="15"/>
  <c r="H9" i="15"/>
  <c r="X7" i="15"/>
  <c r="T7" i="15"/>
  <c r="P7" i="15"/>
  <c r="L7" i="15"/>
  <c r="H7" i="15"/>
  <c r="H7" i="14"/>
  <c r="J7" i="14"/>
  <c r="N7" i="14"/>
  <c r="R7" i="14"/>
  <c r="V7" i="14"/>
  <c r="Z7" i="14"/>
  <c r="AD7" i="14"/>
  <c r="J8" i="14"/>
  <c r="R8" i="14"/>
  <c r="AG8" i="14"/>
  <c r="H9" i="14"/>
  <c r="J9" i="14"/>
  <c r="N9" i="14"/>
  <c r="V9" i="14"/>
  <c r="Z9" i="14"/>
  <c r="AD9" i="14"/>
  <c r="H10" i="14"/>
  <c r="N10" i="14"/>
  <c r="V10" i="14"/>
  <c r="Z10" i="14"/>
  <c r="AD10" i="14"/>
  <c r="AG10" i="14"/>
  <c r="H11" i="14"/>
  <c r="J11" i="14"/>
  <c r="AG11" i="14"/>
  <c r="N11" i="14"/>
  <c r="V11" i="14"/>
  <c r="Z11" i="14"/>
  <c r="AD11" i="14"/>
  <c r="H12" i="14"/>
  <c r="J12" i="14"/>
  <c r="AG12" i="14"/>
  <c r="H13" i="14"/>
  <c r="J13" i="14"/>
  <c r="AG13" i="14"/>
  <c r="N13" i="14"/>
  <c r="V13" i="14"/>
  <c r="AD13" i="14"/>
  <c r="H14" i="14"/>
  <c r="J14" i="14"/>
  <c r="N14" i="14"/>
  <c r="V14" i="14"/>
  <c r="Z14" i="14"/>
  <c r="AG14" i="14"/>
  <c r="AG15" i="14"/>
  <c r="J16" i="14"/>
  <c r="AB16" i="14"/>
  <c r="AB21" i="14"/>
  <c r="AB22" i="14"/>
  <c r="AF16" i="14"/>
  <c r="R28" i="14"/>
  <c r="S28" i="14"/>
  <c r="AG17" i="14"/>
  <c r="J18" i="14"/>
  <c r="R18" i="14"/>
  <c r="X18" i="14"/>
  <c r="AF18" i="14"/>
  <c r="AG19" i="14"/>
  <c r="R20" i="14"/>
  <c r="AG20" i="14"/>
  <c r="X20" i="14"/>
  <c r="D48" i="14"/>
  <c r="D45" i="14"/>
  <c r="D51" i="14"/>
  <c r="V43" i="14"/>
  <c r="U43" i="14"/>
  <c r="T36" i="14"/>
  <c r="T37" i="14"/>
  <c r="T38" i="14"/>
  <c r="S36" i="14"/>
  <c r="S37" i="14"/>
  <c r="S38" i="14"/>
  <c r="Q35" i="14"/>
  <c r="Q36" i="14"/>
  <c r="Q37" i="14"/>
  <c r="Q38" i="14"/>
  <c r="P35" i="14"/>
  <c r="P36" i="14"/>
  <c r="P37" i="14"/>
  <c r="P38" i="14"/>
  <c r="U194" i="14"/>
  <c r="R191" i="14"/>
  <c r="O191" i="14"/>
  <c r="N191" i="14"/>
  <c r="M191" i="14"/>
  <c r="J191" i="14"/>
  <c r="R190" i="14"/>
  <c r="O190" i="14"/>
  <c r="M190" i="14"/>
  <c r="J190" i="14"/>
  <c r="R189" i="14"/>
  <c r="O189" i="14"/>
  <c r="N189" i="14"/>
  <c r="M189" i="14"/>
  <c r="J189" i="14"/>
  <c r="R188" i="14"/>
  <c r="O188" i="14"/>
  <c r="N188" i="14"/>
  <c r="M188" i="14"/>
  <c r="J188" i="14"/>
  <c r="R183" i="14"/>
  <c r="O183" i="14"/>
  <c r="N183" i="14"/>
  <c r="M183" i="14"/>
  <c r="J183" i="14"/>
  <c r="X172" i="14"/>
  <c r="R172" i="14"/>
  <c r="J172" i="14"/>
  <c r="J171" i="14"/>
  <c r="AF168" i="14"/>
  <c r="R182" i="14"/>
  <c r="R186" i="14"/>
  <c r="AB168" i="14"/>
  <c r="O182" i="14"/>
  <c r="X168" i="14"/>
  <c r="R168" i="14"/>
  <c r="J168" i="14"/>
  <c r="J182" i="14"/>
  <c r="X167" i="14"/>
  <c r="X171" i="14"/>
  <c r="V167" i="14"/>
  <c r="N167" i="14"/>
  <c r="H167" i="14"/>
  <c r="AF166" i="14"/>
  <c r="AF167" i="14"/>
  <c r="AB166" i="14"/>
  <c r="AB167" i="14"/>
  <c r="R166" i="14"/>
  <c r="J166" i="14"/>
  <c r="V165" i="14"/>
  <c r="H165" i="14"/>
  <c r="V164" i="14"/>
  <c r="N164" i="14"/>
  <c r="H164" i="14"/>
  <c r="V163" i="14"/>
  <c r="N163" i="14"/>
  <c r="H163" i="14"/>
  <c r="V162" i="14"/>
  <c r="N162" i="14"/>
  <c r="H162" i="14"/>
  <c r="V161" i="14"/>
  <c r="N161" i="14"/>
  <c r="H161" i="14"/>
  <c r="V158" i="14"/>
  <c r="N158" i="14"/>
  <c r="H158" i="14"/>
  <c r="AF157" i="14"/>
  <c r="AD157" i="14"/>
  <c r="AB157" i="14"/>
  <c r="Z157" i="14"/>
  <c r="X157" i="14"/>
  <c r="V157" i="14"/>
  <c r="R157" i="14"/>
  <c r="N157" i="14"/>
  <c r="J157" i="14"/>
  <c r="J184" i="14"/>
  <c r="H157" i="14"/>
  <c r="O143" i="14"/>
  <c r="N140" i="14"/>
  <c r="M140" i="14"/>
  <c r="J140" i="14"/>
  <c r="N139" i="14"/>
  <c r="M139" i="14"/>
  <c r="J139" i="14"/>
  <c r="N138" i="14"/>
  <c r="M138" i="14"/>
  <c r="J138" i="14"/>
  <c r="N137" i="14"/>
  <c r="M137" i="14"/>
  <c r="J137" i="14"/>
  <c r="N132" i="14"/>
  <c r="M132" i="14"/>
  <c r="J132" i="14"/>
  <c r="Y123" i="14"/>
  <c r="X122" i="14"/>
  <c r="N131" i="14"/>
  <c r="R122" i="14"/>
  <c r="J122" i="14"/>
  <c r="Y122" i="14"/>
  <c r="Y121" i="14"/>
  <c r="X121" i="14"/>
  <c r="X120" i="14"/>
  <c r="J120" i="14"/>
  <c r="Y119" i="14"/>
  <c r="H119" i="14"/>
  <c r="Y118" i="14"/>
  <c r="H118" i="14"/>
  <c r="Y117" i="14"/>
  <c r="H117" i="14"/>
  <c r="Y116" i="14"/>
  <c r="Y115" i="14"/>
  <c r="Y114" i="14"/>
  <c r="Y113" i="14"/>
  <c r="Y112" i="14"/>
  <c r="X111" i="14"/>
  <c r="N133" i="14"/>
  <c r="R111" i="14"/>
  <c r="M133" i="14"/>
  <c r="J111" i="14"/>
  <c r="Y111" i="14"/>
  <c r="M98" i="14"/>
  <c r="J98" i="14"/>
  <c r="R94" i="14"/>
  <c r="O94" i="14"/>
  <c r="M94" i="14"/>
  <c r="M91" i="14"/>
  <c r="J94" i="14"/>
  <c r="R93" i="14"/>
  <c r="O93" i="14"/>
  <c r="N93" i="14"/>
  <c r="M93" i="14"/>
  <c r="J93" i="14"/>
  <c r="R92" i="14"/>
  <c r="O92" i="14"/>
  <c r="N92" i="14"/>
  <c r="M92" i="14"/>
  <c r="J92" i="14"/>
  <c r="N91" i="14"/>
  <c r="N97" i="14"/>
  <c r="R87" i="14"/>
  <c r="O87" i="14"/>
  <c r="N87" i="14"/>
  <c r="M87" i="14"/>
  <c r="J87" i="14"/>
  <c r="AG80" i="14"/>
  <c r="AF79" i="14"/>
  <c r="R90" i="14"/>
  <c r="AB79" i="14"/>
  <c r="O90" i="14"/>
  <c r="X79" i="14"/>
  <c r="N90" i="14"/>
  <c r="R79" i="14"/>
  <c r="J79" i="14"/>
  <c r="J90" i="14"/>
  <c r="AG78" i="14"/>
  <c r="AG77" i="14"/>
  <c r="AG76" i="14"/>
  <c r="AF75" i="14"/>
  <c r="AB75" i="14"/>
  <c r="R75" i="14"/>
  <c r="J75" i="14"/>
  <c r="AG74" i="14"/>
  <c r="AD74" i="14"/>
  <c r="Z74" i="14"/>
  <c r="V74" i="14"/>
  <c r="N74" i="14"/>
  <c r="H74" i="14"/>
  <c r="AG73" i="14"/>
  <c r="AD73" i="14"/>
  <c r="Z73" i="14"/>
  <c r="V73" i="14"/>
  <c r="N73" i="14"/>
  <c r="H73" i="14"/>
  <c r="AG72" i="14"/>
  <c r="AD72" i="14"/>
  <c r="Z72" i="14"/>
  <c r="N72" i="14"/>
  <c r="H72" i="14"/>
  <c r="AG71" i="14"/>
  <c r="AD71" i="14"/>
  <c r="Z71" i="14"/>
  <c r="V71" i="14"/>
  <c r="N71" i="14"/>
  <c r="H71" i="14"/>
  <c r="AG70" i="14"/>
  <c r="AD70" i="14"/>
  <c r="N70" i="14"/>
  <c r="H70" i="14"/>
  <c r="AG69" i="14"/>
  <c r="AF68" i="14"/>
  <c r="AD68" i="14"/>
  <c r="AB68" i="14"/>
  <c r="O88" i="14"/>
  <c r="O85" i="14"/>
  <c r="Z68" i="14"/>
  <c r="X68" i="14"/>
  <c r="N88" i="14"/>
  <c r="V68" i="14"/>
  <c r="R68" i="14"/>
  <c r="R81" i="14"/>
  <c r="R82" i="14"/>
  <c r="N68" i="14"/>
  <c r="J68" i="14"/>
  <c r="J88" i="14"/>
  <c r="H68" i="14"/>
  <c r="R40" i="14"/>
  <c r="T40" i="14"/>
  <c r="O40" i="14"/>
  <c r="P40" i="14"/>
  <c r="N40" i="14"/>
  <c r="M40" i="14"/>
  <c r="J40" i="14"/>
  <c r="L40" i="14"/>
  <c r="R35" i="14"/>
  <c r="T35" i="14"/>
  <c r="N35" i="14"/>
  <c r="M35" i="14"/>
  <c r="J35" i="14"/>
  <c r="L35" i="14"/>
  <c r="R34" i="14"/>
  <c r="T34" i="14"/>
  <c r="O34" i="14"/>
  <c r="Q34" i="14"/>
  <c r="N34" i="14"/>
  <c r="M34" i="14"/>
  <c r="J34" i="14"/>
  <c r="L34" i="14"/>
  <c r="R33" i="14"/>
  <c r="T33" i="14"/>
  <c r="O33" i="14"/>
  <c r="P33" i="14"/>
  <c r="N33" i="14"/>
  <c r="N32" i="14"/>
  <c r="M33" i="14"/>
  <c r="J33" i="14"/>
  <c r="K33" i="14"/>
  <c r="R29" i="14"/>
  <c r="S29" i="14"/>
  <c r="O29" i="14"/>
  <c r="P29" i="14"/>
  <c r="O28" i="14"/>
  <c r="P28" i="14"/>
  <c r="N28" i="14"/>
  <c r="N26" i="14"/>
  <c r="Z149" i="13"/>
  <c r="Z151" i="13"/>
  <c r="V149" i="13"/>
  <c r="V150" i="13"/>
  <c r="V151" i="13"/>
  <c r="M165" i="13"/>
  <c r="M169" i="13"/>
  <c r="R151" i="13"/>
  <c r="L165" i="13"/>
  <c r="L169" i="13"/>
  <c r="R155" i="13"/>
  <c r="N155" i="13"/>
  <c r="N149" i="13"/>
  <c r="N150" i="13"/>
  <c r="N154" i="13"/>
  <c r="N151" i="13"/>
  <c r="K165" i="13"/>
  <c r="J149" i="13"/>
  <c r="J151" i="13"/>
  <c r="J165" i="13"/>
  <c r="J169" i="13"/>
  <c r="R103" i="13"/>
  <c r="R105" i="13"/>
  <c r="L114" i="13"/>
  <c r="L118" i="13"/>
  <c r="N105" i="13"/>
  <c r="J103" i="13"/>
  <c r="J105" i="13"/>
  <c r="Z58" i="13"/>
  <c r="Z62" i="13"/>
  <c r="V58" i="13"/>
  <c r="V62" i="13"/>
  <c r="R62" i="13"/>
  <c r="N58" i="13"/>
  <c r="N62" i="13"/>
  <c r="K73" i="13"/>
  <c r="J58" i="13"/>
  <c r="J62" i="13"/>
  <c r="Z18" i="13"/>
  <c r="N18" i="13"/>
  <c r="R20" i="13"/>
  <c r="AA20" i="13"/>
  <c r="N20" i="13"/>
  <c r="K28" i="13"/>
  <c r="R18" i="13"/>
  <c r="J18" i="13"/>
  <c r="O177" i="13"/>
  <c r="N174" i="13"/>
  <c r="M174" i="13"/>
  <c r="L174" i="13"/>
  <c r="K174" i="13"/>
  <c r="J174" i="13"/>
  <c r="N173" i="13"/>
  <c r="N170" i="13"/>
  <c r="N176" i="13"/>
  <c r="M173" i="13"/>
  <c r="K173" i="13"/>
  <c r="J173" i="13"/>
  <c r="N172" i="13"/>
  <c r="M172" i="13"/>
  <c r="L172" i="13"/>
  <c r="K172" i="13"/>
  <c r="J172" i="13"/>
  <c r="N171" i="13"/>
  <c r="M171" i="13"/>
  <c r="L171" i="13"/>
  <c r="K171" i="13"/>
  <c r="J171" i="13"/>
  <c r="J167" i="13"/>
  <c r="N166" i="13"/>
  <c r="M166" i="13"/>
  <c r="L166" i="13"/>
  <c r="K166" i="13"/>
  <c r="J166" i="13"/>
  <c r="O166" i="13"/>
  <c r="N165" i="13"/>
  <c r="N169" i="13"/>
  <c r="J155" i="13"/>
  <c r="J154" i="13"/>
  <c r="Z150" i="13"/>
  <c r="R150" i="13"/>
  <c r="R154" i="13"/>
  <c r="P150" i="13"/>
  <c r="L150" i="13"/>
  <c r="H150" i="13"/>
  <c r="P148" i="13"/>
  <c r="H148" i="13"/>
  <c r="P147" i="13"/>
  <c r="L147" i="13"/>
  <c r="H147" i="13"/>
  <c r="P146" i="13"/>
  <c r="L146" i="13"/>
  <c r="H146" i="13"/>
  <c r="P145" i="13"/>
  <c r="L145" i="13"/>
  <c r="H145" i="13"/>
  <c r="P144" i="13"/>
  <c r="L144" i="13"/>
  <c r="H144" i="13"/>
  <c r="P141" i="13"/>
  <c r="L141" i="13"/>
  <c r="H141" i="13"/>
  <c r="Z140" i="13"/>
  <c r="N167" i="13"/>
  <c r="X140" i="13"/>
  <c r="V140" i="13"/>
  <c r="T140" i="13"/>
  <c r="R140" i="13"/>
  <c r="R153" i="13"/>
  <c r="R158" i="13"/>
  <c r="P140" i="13"/>
  <c r="N140" i="13"/>
  <c r="N156" i="13"/>
  <c r="L140" i="13"/>
  <c r="J140" i="13"/>
  <c r="H140" i="13"/>
  <c r="M126" i="13"/>
  <c r="M123" i="13"/>
  <c r="L123" i="13"/>
  <c r="K123" i="13"/>
  <c r="J123" i="13"/>
  <c r="L122" i="13"/>
  <c r="K122" i="13"/>
  <c r="J122" i="13"/>
  <c r="L121" i="13"/>
  <c r="K121" i="13"/>
  <c r="J121" i="13"/>
  <c r="L120" i="13"/>
  <c r="L119" i="13"/>
  <c r="L125" i="13"/>
  <c r="K120" i="13"/>
  <c r="M120" i="13"/>
  <c r="J120" i="13"/>
  <c r="L115" i="13"/>
  <c r="K115" i="13"/>
  <c r="J115" i="13"/>
  <c r="M115" i="13"/>
  <c r="S106" i="13"/>
  <c r="R104" i="13"/>
  <c r="S104" i="13"/>
  <c r="S103" i="13"/>
  <c r="S102" i="13"/>
  <c r="H102" i="13"/>
  <c r="S101" i="13"/>
  <c r="H101" i="13"/>
  <c r="S100" i="13"/>
  <c r="H100" i="13"/>
  <c r="S99" i="13"/>
  <c r="S98" i="13"/>
  <c r="S97" i="13"/>
  <c r="S96" i="13"/>
  <c r="S95" i="13"/>
  <c r="R94" i="13"/>
  <c r="N94" i="13"/>
  <c r="K116" i="13"/>
  <c r="J94" i="13"/>
  <c r="J116" i="13"/>
  <c r="K81" i="13"/>
  <c r="J81" i="13"/>
  <c r="O81" i="13"/>
  <c r="N77" i="13"/>
  <c r="M77" i="13"/>
  <c r="K77" i="13"/>
  <c r="J77" i="13"/>
  <c r="N76" i="13"/>
  <c r="M76" i="13"/>
  <c r="L76" i="13"/>
  <c r="K76" i="13"/>
  <c r="J76" i="13"/>
  <c r="N75" i="13"/>
  <c r="M75" i="13"/>
  <c r="M74" i="13"/>
  <c r="M80" i="13"/>
  <c r="L75" i="13"/>
  <c r="L74" i="13"/>
  <c r="L80" i="13"/>
  <c r="K75" i="13"/>
  <c r="J75" i="13"/>
  <c r="N73" i="13"/>
  <c r="M73" i="13"/>
  <c r="J73" i="13"/>
  <c r="N70" i="13"/>
  <c r="M70" i="13"/>
  <c r="L70" i="13"/>
  <c r="K70" i="13"/>
  <c r="K68" i="13"/>
  <c r="J70" i="13"/>
  <c r="AA63" i="13"/>
  <c r="L73" i="13"/>
  <c r="AA61" i="13"/>
  <c r="AA60" i="13"/>
  <c r="AA59" i="13"/>
  <c r="AA57" i="13"/>
  <c r="X57" i="13"/>
  <c r="T57" i="13"/>
  <c r="P57" i="13"/>
  <c r="L57" i="13"/>
  <c r="H57" i="13"/>
  <c r="AA56" i="13"/>
  <c r="X56" i="13"/>
  <c r="T56" i="13"/>
  <c r="P56" i="13"/>
  <c r="L56" i="13"/>
  <c r="H56" i="13"/>
  <c r="AA55" i="13"/>
  <c r="X55" i="13"/>
  <c r="T55" i="13"/>
  <c r="L55" i="13"/>
  <c r="H55" i="13"/>
  <c r="AA54" i="13"/>
  <c r="X54" i="13"/>
  <c r="T54" i="13"/>
  <c r="P54" i="13"/>
  <c r="L54" i="13"/>
  <c r="H54" i="13"/>
  <c r="AA53" i="13"/>
  <c r="X53" i="13"/>
  <c r="L53" i="13"/>
  <c r="H53" i="13"/>
  <c r="AA52" i="13"/>
  <c r="Z51" i="13"/>
  <c r="X51" i="13"/>
  <c r="V51" i="13"/>
  <c r="M71" i="13"/>
  <c r="T51" i="13"/>
  <c r="R51" i="13"/>
  <c r="L71" i="13"/>
  <c r="P51" i="13"/>
  <c r="N51" i="13"/>
  <c r="K71" i="13"/>
  <c r="L51" i="13"/>
  <c r="J51" i="13"/>
  <c r="AA51" i="13"/>
  <c r="H51" i="13"/>
  <c r="N40" i="13"/>
  <c r="M40" i="13"/>
  <c r="L40" i="13"/>
  <c r="K40" i="13"/>
  <c r="J40" i="13"/>
  <c r="N35" i="13"/>
  <c r="L35" i="13"/>
  <c r="K35" i="13"/>
  <c r="J35" i="13"/>
  <c r="N34" i="13"/>
  <c r="M34" i="13"/>
  <c r="M39" i="13"/>
  <c r="M30" i="13"/>
  <c r="L34" i="13"/>
  <c r="K34" i="13"/>
  <c r="J34" i="13"/>
  <c r="N33" i="13"/>
  <c r="M33" i="13"/>
  <c r="L33" i="13"/>
  <c r="K33" i="13"/>
  <c r="J33" i="13"/>
  <c r="N29" i="13"/>
  <c r="M29" i="13"/>
  <c r="L28" i="13"/>
  <c r="AA19" i="13"/>
  <c r="AA17" i="13"/>
  <c r="Z16" i="13"/>
  <c r="N28" i="13"/>
  <c r="N26" i="13"/>
  <c r="V16" i="13"/>
  <c r="V21" i="13"/>
  <c r="V22" i="13"/>
  <c r="J16" i="13"/>
  <c r="AA16" i="13"/>
  <c r="AA15" i="13"/>
  <c r="T14" i="13"/>
  <c r="P14" i="13"/>
  <c r="L14" i="13"/>
  <c r="H14" i="13"/>
  <c r="J14" i="13"/>
  <c r="AA14" i="13"/>
  <c r="X13" i="13"/>
  <c r="P13" i="13"/>
  <c r="L13" i="13"/>
  <c r="H13" i="13"/>
  <c r="J13" i="13"/>
  <c r="AA13" i="13"/>
  <c r="H12" i="13"/>
  <c r="J12" i="13"/>
  <c r="X11" i="13"/>
  <c r="T11" i="13"/>
  <c r="P11" i="13"/>
  <c r="L11" i="13"/>
  <c r="H11" i="13"/>
  <c r="J11" i="13"/>
  <c r="AA11" i="13"/>
  <c r="AA10" i="13"/>
  <c r="X10" i="13"/>
  <c r="T10" i="13"/>
  <c r="P10" i="13"/>
  <c r="L10" i="13"/>
  <c r="H10" i="13"/>
  <c r="X9" i="13"/>
  <c r="T9" i="13"/>
  <c r="P9" i="13"/>
  <c r="L9" i="13"/>
  <c r="H9" i="13"/>
  <c r="J9" i="13"/>
  <c r="AA9" i="13"/>
  <c r="N8" i="13"/>
  <c r="J8" i="13"/>
  <c r="X7" i="13"/>
  <c r="T7" i="13"/>
  <c r="P7" i="13"/>
  <c r="L7" i="13"/>
  <c r="N7" i="13"/>
  <c r="K29" i="13"/>
  <c r="H7" i="13"/>
  <c r="J7" i="13"/>
  <c r="V16" i="8"/>
  <c r="M28" i="8"/>
  <c r="Z16" i="8"/>
  <c r="J16" i="8"/>
  <c r="L114" i="8"/>
  <c r="L118" i="8"/>
  <c r="J165" i="8"/>
  <c r="J169" i="8"/>
  <c r="K165" i="8"/>
  <c r="K169" i="8"/>
  <c r="L165" i="8"/>
  <c r="L169" i="8"/>
  <c r="N174" i="8"/>
  <c r="N173" i="8"/>
  <c r="N172" i="8"/>
  <c r="N171" i="8"/>
  <c r="N170" i="8"/>
  <c r="N176" i="8"/>
  <c r="N166" i="8"/>
  <c r="N165" i="8"/>
  <c r="N169" i="8"/>
  <c r="M174" i="8"/>
  <c r="M173" i="8"/>
  <c r="M172" i="8"/>
  <c r="M171" i="8"/>
  <c r="M166" i="8"/>
  <c r="M165" i="8"/>
  <c r="M169" i="8"/>
  <c r="L166" i="8"/>
  <c r="L174" i="8"/>
  <c r="L172" i="8"/>
  <c r="L170" i="8"/>
  <c r="L176" i="8"/>
  <c r="L171" i="8"/>
  <c r="K174" i="8"/>
  <c r="K173" i="8"/>
  <c r="K172" i="8"/>
  <c r="K171" i="8"/>
  <c r="K166" i="8"/>
  <c r="J174" i="8"/>
  <c r="J173" i="8"/>
  <c r="J172" i="8"/>
  <c r="J171" i="8"/>
  <c r="J166" i="8"/>
  <c r="O177" i="8"/>
  <c r="Z150" i="8"/>
  <c r="Z140" i="8"/>
  <c r="N167" i="8"/>
  <c r="V150" i="8"/>
  <c r="V140" i="8"/>
  <c r="M167" i="8"/>
  <c r="R150" i="8"/>
  <c r="R140" i="8"/>
  <c r="N150" i="8"/>
  <c r="N140" i="8"/>
  <c r="J140" i="8"/>
  <c r="J167" i="8"/>
  <c r="L123" i="8"/>
  <c r="L122" i="8"/>
  <c r="L121" i="8"/>
  <c r="L120" i="8"/>
  <c r="L115" i="8"/>
  <c r="K123" i="8"/>
  <c r="K122" i="8"/>
  <c r="K121" i="8"/>
  <c r="K120" i="8"/>
  <c r="K115" i="8"/>
  <c r="J123" i="8"/>
  <c r="J122" i="8"/>
  <c r="J121" i="8"/>
  <c r="J120" i="8"/>
  <c r="J119" i="8"/>
  <c r="J125" i="8"/>
  <c r="J115" i="8"/>
  <c r="M115" i="8"/>
  <c r="M126" i="8"/>
  <c r="S103" i="8"/>
  <c r="S106" i="8"/>
  <c r="R104" i="8"/>
  <c r="S104" i="8"/>
  <c r="R94" i="8"/>
  <c r="N105" i="8"/>
  <c r="K114" i="8"/>
  <c r="N94" i="8"/>
  <c r="N107" i="8"/>
  <c r="N109" i="8"/>
  <c r="J105" i="8"/>
  <c r="J114" i="8"/>
  <c r="J94" i="8"/>
  <c r="N77" i="8"/>
  <c r="N74" i="8"/>
  <c r="N80" i="8"/>
  <c r="N76" i="8"/>
  <c r="N75" i="8"/>
  <c r="N70" i="8"/>
  <c r="M77" i="8"/>
  <c r="M76" i="8"/>
  <c r="M75" i="8"/>
  <c r="M73" i="8"/>
  <c r="M70" i="8"/>
  <c r="L70" i="8"/>
  <c r="L76" i="8"/>
  <c r="L75" i="8"/>
  <c r="L74" i="8"/>
  <c r="L80" i="8"/>
  <c r="K81" i="8"/>
  <c r="K77" i="8"/>
  <c r="K76" i="8"/>
  <c r="K75" i="8"/>
  <c r="K70" i="8"/>
  <c r="J81" i="8"/>
  <c r="J77" i="8"/>
  <c r="J76" i="8"/>
  <c r="J75" i="8"/>
  <c r="J80" i="8"/>
  <c r="J70" i="8"/>
  <c r="AA52" i="8"/>
  <c r="AA53" i="8"/>
  <c r="AA54" i="8"/>
  <c r="AA55" i="8"/>
  <c r="AA56" i="8"/>
  <c r="AA57" i="8"/>
  <c r="AA58" i="8"/>
  <c r="AA59" i="8"/>
  <c r="AA60" i="8"/>
  <c r="AA61" i="8"/>
  <c r="AA63" i="8"/>
  <c r="Z62" i="8"/>
  <c r="N73" i="8"/>
  <c r="Z51" i="8"/>
  <c r="N71" i="8"/>
  <c r="T55" i="8"/>
  <c r="T54" i="8"/>
  <c r="V51" i="8"/>
  <c r="M71" i="8"/>
  <c r="P54" i="8"/>
  <c r="P51" i="8"/>
  <c r="R62" i="8"/>
  <c r="L73" i="8"/>
  <c r="R51" i="8"/>
  <c r="R64" i="8"/>
  <c r="R65" i="8"/>
  <c r="L55" i="8"/>
  <c r="L54" i="8"/>
  <c r="L51" i="8"/>
  <c r="N62" i="8"/>
  <c r="K73" i="8"/>
  <c r="N51" i="8"/>
  <c r="K71" i="8"/>
  <c r="J62" i="8"/>
  <c r="J73" i="8"/>
  <c r="J51" i="8"/>
  <c r="J71" i="8"/>
  <c r="J68" i="8"/>
  <c r="N40" i="8"/>
  <c r="N35" i="8"/>
  <c r="N34" i="8"/>
  <c r="N33" i="8"/>
  <c r="N39" i="8"/>
  <c r="N29" i="8"/>
  <c r="N28" i="8"/>
  <c r="M40" i="8"/>
  <c r="M34" i="8"/>
  <c r="M33" i="8"/>
  <c r="M29" i="8"/>
  <c r="L29" i="8"/>
  <c r="L40" i="8"/>
  <c r="L35" i="8"/>
  <c r="L34" i="8"/>
  <c r="L33" i="8"/>
  <c r="L39" i="8"/>
  <c r="L28" i="8"/>
  <c r="K40" i="8"/>
  <c r="J40" i="8"/>
  <c r="K35" i="8"/>
  <c r="K34" i="8"/>
  <c r="K33" i="8"/>
  <c r="K28" i="8"/>
  <c r="J35" i="8"/>
  <c r="J34" i="8"/>
  <c r="J33" i="8"/>
  <c r="AA20" i="8"/>
  <c r="AA10" i="8"/>
  <c r="AA15" i="8"/>
  <c r="AA17" i="8"/>
  <c r="AA18" i="8"/>
  <c r="AA19" i="8"/>
  <c r="Z21" i="8"/>
  <c r="Z22" i="8"/>
  <c r="R21" i="8"/>
  <c r="N8" i="8"/>
  <c r="N7" i="8"/>
  <c r="L7" i="8"/>
  <c r="J8" i="8"/>
  <c r="J156" i="8"/>
  <c r="J155" i="8"/>
  <c r="J154" i="8"/>
  <c r="P150" i="8"/>
  <c r="L150" i="8"/>
  <c r="H150" i="8"/>
  <c r="P148" i="8"/>
  <c r="H148" i="8"/>
  <c r="P147" i="8"/>
  <c r="L147" i="8"/>
  <c r="H147" i="8"/>
  <c r="P146" i="8"/>
  <c r="L146" i="8"/>
  <c r="H146" i="8"/>
  <c r="P145" i="8"/>
  <c r="L145" i="8"/>
  <c r="H145" i="8"/>
  <c r="P144" i="8"/>
  <c r="L144" i="8"/>
  <c r="J153" i="8"/>
  <c r="J158" i="8"/>
  <c r="H144" i="8"/>
  <c r="P141" i="8"/>
  <c r="L141" i="8"/>
  <c r="H141" i="8"/>
  <c r="X140" i="8"/>
  <c r="T140" i="8"/>
  <c r="P140" i="8"/>
  <c r="L140" i="8"/>
  <c r="H140" i="8"/>
  <c r="S102" i="8"/>
  <c r="H102" i="8"/>
  <c r="S101" i="8"/>
  <c r="H101" i="8"/>
  <c r="S100" i="8"/>
  <c r="H100" i="8"/>
  <c r="S99" i="8"/>
  <c r="S98" i="8"/>
  <c r="S97" i="8"/>
  <c r="S96" i="8"/>
  <c r="S95" i="8"/>
  <c r="X57" i="8"/>
  <c r="T57" i="8"/>
  <c r="P57" i="8"/>
  <c r="L57" i="8"/>
  <c r="H57" i="8"/>
  <c r="X56" i="8"/>
  <c r="T56" i="8"/>
  <c r="P56" i="8"/>
  <c r="L56" i="8"/>
  <c r="H56" i="8"/>
  <c r="X55" i="8"/>
  <c r="H55" i="8"/>
  <c r="X54" i="8"/>
  <c r="H54" i="8"/>
  <c r="X53" i="8"/>
  <c r="L53" i="8"/>
  <c r="H53" i="8"/>
  <c r="X51" i="8"/>
  <c r="T51" i="8"/>
  <c r="H51" i="8"/>
  <c r="T14" i="8"/>
  <c r="P14" i="8"/>
  <c r="L14" i="8"/>
  <c r="H14" i="8"/>
  <c r="J14" i="8"/>
  <c r="AA14" i="8"/>
  <c r="X13" i="8"/>
  <c r="P13" i="8"/>
  <c r="L13" i="8"/>
  <c r="H13" i="8"/>
  <c r="J13" i="8"/>
  <c r="AA13" i="8"/>
  <c r="H12" i="8"/>
  <c r="J12" i="8"/>
  <c r="AA12" i="8"/>
  <c r="X11" i="8"/>
  <c r="T11" i="8"/>
  <c r="P11" i="8"/>
  <c r="L11" i="8"/>
  <c r="H11" i="8"/>
  <c r="J11" i="8"/>
  <c r="AA11" i="8"/>
  <c r="X10" i="8"/>
  <c r="T10" i="8"/>
  <c r="P10" i="8"/>
  <c r="L10" i="8"/>
  <c r="H10" i="8"/>
  <c r="X9" i="8"/>
  <c r="T9" i="8"/>
  <c r="P9" i="8"/>
  <c r="L9" i="8"/>
  <c r="H9" i="8"/>
  <c r="J9" i="8"/>
  <c r="AA9" i="8"/>
  <c r="X7" i="8"/>
  <c r="T7" i="8"/>
  <c r="P7" i="8"/>
  <c r="H7" i="8"/>
  <c r="J7" i="8"/>
  <c r="J41" i="3"/>
  <c r="H42" i="3"/>
  <c r="J42" i="3"/>
  <c r="H40" i="3"/>
  <c r="J40" i="3"/>
  <c r="X31" i="3"/>
  <c r="Q34" i="3"/>
  <c r="G34" i="3"/>
  <c r="V33" i="3"/>
  <c r="Q33" i="3"/>
  <c r="L33" i="3"/>
  <c r="G33" i="3"/>
  <c r="V32" i="3"/>
  <c r="X32" i="3"/>
  <c r="Q32" i="3"/>
  <c r="S32" i="3"/>
  <c r="L32" i="3"/>
  <c r="N32" i="3"/>
  <c r="G32" i="3"/>
  <c r="I32" i="3"/>
  <c r="V31" i="3"/>
  <c r="Q31" i="3"/>
  <c r="S31" i="3"/>
  <c r="L31" i="3"/>
  <c r="N31" i="3"/>
  <c r="G31" i="3"/>
  <c r="I31" i="3"/>
  <c r="I36" i="2"/>
  <c r="K29" i="2"/>
  <c r="M29" i="2"/>
  <c r="G29" i="2"/>
  <c r="I29" i="2"/>
  <c r="V36" i="2"/>
  <c r="Q36" i="2"/>
  <c r="L36" i="2"/>
  <c r="V35" i="2"/>
  <c r="X35" i="2"/>
  <c r="Q35" i="2"/>
  <c r="L35" i="2"/>
  <c r="G35" i="2"/>
  <c r="I35" i="2"/>
  <c r="U30" i="2"/>
  <c r="W30" i="2"/>
  <c r="P30" i="2"/>
  <c r="K30" i="2"/>
  <c r="M30" i="2"/>
  <c r="G30" i="2"/>
  <c r="U29" i="2"/>
  <c r="W29" i="2"/>
  <c r="P29" i="2"/>
  <c r="R29" i="2"/>
  <c r="T44" i="1"/>
  <c r="X44" i="1"/>
  <c r="Z44" i="1"/>
  <c r="X43" i="1"/>
  <c r="Z43" i="1"/>
  <c r="T43" i="1"/>
  <c r="R44" i="1"/>
  <c r="P44" i="1"/>
  <c r="P43" i="1"/>
  <c r="R43" i="1"/>
  <c r="H44" i="1"/>
  <c r="J44" i="1"/>
  <c r="H43" i="1"/>
  <c r="J43" i="1"/>
  <c r="X42" i="1"/>
  <c r="Z42" i="1"/>
  <c r="T42" i="1"/>
  <c r="V42" i="1"/>
  <c r="P42" i="1"/>
  <c r="R42" i="1"/>
  <c r="X41" i="1"/>
  <c r="Z41" i="1"/>
  <c r="T41" i="1"/>
  <c r="V41" i="1"/>
  <c r="O41" i="1"/>
  <c r="P41" i="1"/>
  <c r="R41" i="1"/>
  <c r="W44" i="1"/>
  <c r="W43" i="1"/>
  <c r="W42" i="1"/>
  <c r="S44" i="1"/>
  <c r="S43" i="1"/>
  <c r="S42" i="1"/>
  <c r="O44" i="1"/>
  <c r="O43" i="1"/>
  <c r="O42" i="1"/>
  <c r="G44" i="1"/>
  <c r="G43" i="1"/>
  <c r="G42" i="1"/>
  <c r="H42" i="1"/>
  <c r="J42" i="1"/>
  <c r="S41" i="1"/>
  <c r="W41" i="1"/>
  <c r="G41" i="1"/>
  <c r="H41" i="1"/>
  <c r="J41" i="1"/>
  <c r="L44" i="1"/>
  <c r="N44" i="1"/>
  <c r="L43" i="1"/>
  <c r="N43" i="1"/>
  <c r="L42" i="1"/>
  <c r="N42" i="1"/>
  <c r="L41" i="1"/>
  <c r="N41" i="1"/>
  <c r="L36" i="1"/>
  <c r="N36" i="1"/>
  <c r="L119" i="8"/>
  <c r="L125" i="8"/>
  <c r="R153" i="8"/>
  <c r="R158" i="8"/>
  <c r="J170" i="13"/>
  <c r="J176" i="13"/>
  <c r="N112" i="16"/>
  <c r="M39" i="8"/>
  <c r="L29" i="13"/>
  <c r="M122" i="13"/>
  <c r="K170" i="13"/>
  <c r="T32" i="14"/>
  <c r="AF81" i="14"/>
  <c r="AF82" i="14"/>
  <c r="AG7" i="14"/>
  <c r="O76" i="8"/>
  <c r="J74" i="13"/>
  <c r="J119" i="13"/>
  <c r="J153" i="13"/>
  <c r="J158" i="13"/>
  <c r="J187" i="14"/>
  <c r="O77" i="8"/>
  <c r="AA8" i="13"/>
  <c r="J28" i="13"/>
  <c r="K119" i="13"/>
  <c r="K125" i="13"/>
  <c r="R21" i="13"/>
  <c r="R22" i="13"/>
  <c r="L117" i="13"/>
  <c r="M32" i="14"/>
  <c r="O78" i="16"/>
  <c r="O81" i="8"/>
  <c r="L116" i="8"/>
  <c r="J80" i="13"/>
  <c r="M136" i="14"/>
  <c r="M142" i="14"/>
  <c r="U38" i="14"/>
  <c r="J125" i="13"/>
  <c r="M125" i="13"/>
  <c r="M119" i="13"/>
  <c r="O109" i="16"/>
  <c r="J110" i="16"/>
  <c r="M156" i="16"/>
  <c r="J148" i="16"/>
  <c r="R32" i="14"/>
  <c r="N68" i="8"/>
  <c r="J170" i="8"/>
  <c r="L170" i="13"/>
  <c r="L176" i="13"/>
  <c r="V64" i="13"/>
  <c r="V65" i="13"/>
  <c r="N74" i="13"/>
  <c r="N80" i="13"/>
  <c r="M167" i="13"/>
  <c r="M164" i="13"/>
  <c r="J156" i="13"/>
  <c r="O174" i="13"/>
  <c r="N39" i="13"/>
  <c r="N30" i="13"/>
  <c r="N41" i="13"/>
  <c r="N42" i="13"/>
  <c r="Z153" i="13"/>
  <c r="Z157" i="13"/>
  <c r="Y120" i="14"/>
  <c r="O139" i="14"/>
  <c r="V37" i="14"/>
  <c r="R21" i="14"/>
  <c r="R22" i="14"/>
  <c r="M123" i="8"/>
  <c r="L167" i="13"/>
  <c r="AA8" i="8"/>
  <c r="K39" i="8"/>
  <c r="K30" i="8"/>
  <c r="M74" i="8"/>
  <c r="M80" i="8"/>
  <c r="K116" i="8"/>
  <c r="K167" i="8"/>
  <c r="K164" i="8"/>
  <c r="O40" i="13"/>
  <c r="Z64" i="13"/>
  <c r="Z65" i="13"/>
  <c r="O77" i="13"/>
  <c r="N107" i="13"/>
  <c r="N108" i="13"/>
  <c r="M121" i="13"/>
  <c r="O173" i="13"/>
  <c r="U190" i="14"/>
  <c r="AF21" i="14"/>
  <c r="AF22" i="14"/>
  <c r="X21" i="14"/>
  <c r="X22" i="14"/>
  <c r="O32" i="14"/>
  <c r="M112" i="16"/>
  <c r="M110" i="16"/>
  <c r="N30" i="8"/>
  <c r="J74" i="8"/>
  <c r="N187" i="14"/>
  <c r="N193" i="14"/>
  <c r="O34" i="8"/>
  <c r="J107" i="8"/>
  <c r="K119" i="8"/>
  <c r="K125" i="8"/>
  <c r="O35" i="13"/>
  <c r="O76" i="13"/>
  <c r="O172" i="13"/>
  <c r="K26" i="13"/>
  <c r="M28" i="14"/>
  <c r="O91" i="14"/>
  <c r="O97" i="14"/>
  <c r="O89" i="14"/>
  <c r="O99" i="14"/>
  <c r="O100" i="14"/>
  <c r="O132" i="14"/>
  <c r="N136" i="14"/>
  <c r="N142" i="14"/>
  <c r="AG18" i="14"/>
  <c r="J199" i="16"/>
  <c r="O199" i="16"/>
  <c r="O97" i="16"/>
  <c r="M125" i="8"/>
  <c r="L72" i="13"/>
  <c r="V153" i="8"/>
  <c r="V155" i="8"/>
  <c r="M68" i="13"/>
  <c r="L30" i="8"/>
  <c r="N21" i="8"/>
  <c r="O35" i="8"/>
  <c r="O34" i="13"/>
  <c r="AA62" i="13"/>
  <c r="O70" i="13"/>
  <c r="O75" i="13"/>
  <c r="M170" i="13"/>
  <c r="R156" i="13"/>
  <c r="J193" i="14"/>
  <c r="U189" i="14"/>
  <c r="P34" i="14"/>
  <c r="P32" i="14"/>
  <c r="J32" i="14"/>
  <c r="L112" i="16"/>
  <c r="O195" i="16"/>
  <c r="O41" i="16"/>
  <c r="J88" i="16"/>
  <c r="V156" i="15"/>
  <c r="V157" i="15"/>
  <c r="N41" i="15"/>
  <c r="N42" i="15"/>
  <c r="N75" i="15"/>
  <c r="O75" i="15"/>
  <c r="AA19" i="15"/>
  <c r="K39" i="15"/>
  <c r="K30" i="15"/>
  <c r="K41" i="15"/>
  <c r="K42" i="15"/>
  <c r="AA16" i="15"/>
  <c r="J28" i="15"/>
  <c r="J39" i="15"/>
  <c r="AA9" i="15"/>
  <c r="L39" i="15"/>
  <c r="L30" i="15"/>
  <c r="L41" i="15"/>
  <c r="L42" i="15"/>
  <c r="J29" i="15"/>
  <c r="O29" i="15"/>
  <c r="L70" i="15"/>
  <c r="S105" i="15"/>
  <c r="M70" i="15"/>
  <c r="L121" i="15"/>
  <c r="L127" i="15"/>
  <c r="J158" i="15"/>
  <c r="R21" i="15"/>
  <c r="R22" i="15"/>
  <c r="J172" i="15"/>
  <c r="J178" i="15"/>
  <c r="N172" i="15"/>
  <c r="N178" i="15"/>
  <c r="AA11" i="15"/>
  <c r="M124" i="15"/>
  <c r="O176" i="15"/>
  <c r="K121" i="15"/>
  <c r="K127" i="15"/>
  <c r="K76" i="15"/>
  <c r="J76" i="15"/>
  <c r="S96" i="15"/>
  <c r="AA18" i="15"/>
  <c r="M117" i="15"/>
  <c r="N109" i="15"/>
  <c r="N111" i="15"/>
  <c r="M76" i="15"/>
  <c r="M82" i="15"/>
  <c r="J121" i="15"/>
  <c r="J127" i="15"/>
  <c r="O175" i="15"/>
  <c r="Z21" i="15"/>
  <c r="Z22" i="15"/>
  <c r="V65" i="15"/>
  <c r="V66" i="15"/>
  <c r="R65" i="15"/>
  <c r="R66" i="15"/>
  <c r="O72" i="15"/>
  <c r="L76" i="15"/>
  <c r="L82" i="15"/>
  <c r="O78" i="15"/>
  <c r="O79" i="15"/>
  <c r="O83" i="15"/>
  <c r="R109" i="15"/>
  <c r="S107" i="15"/>
  <c r="J109" i="15"/>
  <c r="J111" i="15"/>
  <c r="M122" i="15"/>
  <c r="N155" i="15"/>
  <c r="N160" i="15"/>
  <c r="M169" i="15"/>
  <c r="J155" i="15"/>
  <c r="J160" i="15"/>
  <c r="L169" i="15"/>
  <c r="L166" i="15"/>
  <c r="O168" i="15"/>
  <c r="K172" i="15"/>
  <c r="K178" i="15"/>
  <c r="O174" i="15"/>
  <c r="M125" i="15"/>
  <c r="L172" i="15"/>
  <c r="L178" i="15"/>
  <c r="AA59" i="15"/>
  <c r="J70" i="15"/>
  <c r="N70" i="15"/>
  <c r="O77" i="15"/>
  <c r="N76" i="15"/>
  <c r="M123" i="15"/>
  <c r="Z139" i="15"/>
  <c r="M172" i="15"/>
  <c r="M178" i="15"/>
  <c r="AA8" i="15"/>
  <c r="AA13" i="15"/>
  <c r="N21" i="15"/>
  <c r="N22" i="15"/>
  <c r="O73" i="15"/>
  <c r="N169" i="15"/>
  <c r="AA63" i="15"/>
  <c r="L120" i="15"/>
  <c r="J21" i="15"/>
  <c r="N65" i="15"/>
  <c r="N66" i="15"/>
  <c r="K116" i="15"/>
  <c r="K115" i="15"/>
  <c r="K167" i="15"/>
  <c r="K169" i="15"/>
  <c r="AA20" i="15"/>
  <c r="V21" i="15"/>
  <c r="V22" i="15"/>
  <c r="AA52" i="15"/>
  <c r="J65" i="15"/>
  <c r="Z65" i="15"/>
  <c r="Z66" i="15"/>
  <c r="K70" i="15"/>
  <c r="J82" i="15"/>
  <c r="J116" i="15"/>
  <c r="J120" i="15"/>
  <c r="J118" i="15"/>
  <c r="N158" i="15"/>
  <c r="J167" i="15"/>
  <c r="J171" i="15"/>
  <c r="J169" i="15"/>
  <c r="L118" i="15"/>
  <c r="L115" i="15"/>
  <c r="O173" i="15"/>
  <c r="AA7" i="15"/>
  <c r="AG9" i="14"/>
  <c r="J21" i="14"/>
  <c r="AG16" i="14"/>
  <c r="J29" i="14"/>
  <c r="K29" i="14"/>
  <c r="U29" i="14"/>
  <c r="J136" i="14"/>
  <c r="O140" i="14"/>
  <c r="M187" i="14"/>
  <c r="M193" i="14"/>
  <c r="L33" i="14"/>
  <c r="L32" i="14"/>
  <c r="M39" i="14"/>
  <c r="M30" i="14"/>
  <c r="V35" i="14"/>
  <c r="Z35" i="14"/>
  <c r="R39" i="14"/>
  <c r="T39" i="14"/>
  <c r="T30" i="14"/>
  <c r="O138" i="14"/>
  <c r="AF170" i="14"/>
  <c r="AF174" i="14"/>
  <c r="J173" i="14"/>
  <c r="U183" i="14"/>
  <c r="U37" i="14"/>
  <c r="V38" i="14"/>
  <c r="S35" i="14"/>
  <c r="V36" i="14"/>
  <c r="V34" i="14"/>
  <c r="X34" i="14"/>
  <c r="N39" i="14"/>
  <c r="N30" i="14"/>
  <c r="N41" i="14"/>
  <c r="N42" i="14"/>
  <c r="N89" i="14"/>
  <c r="O137" i="14"/>
  <c r="J170" i="14"/>
  <c r="J175" i="14"/>
  <c r="U36" i="14"/>
  <c r="S34" i="14"/>
  <c r="M97" i="14"/>
  <c r="Y124" i="14"/>
  <c r="Y126" i="14"/>
  <c r="K40" i="14"/>
  <c r="Q33" i="14"/>
  <c r="Q32" i="14"/>
  <c r="U94" i="14"/>
  <c r="R187" i="14"/>
  <c r="R193" i="14"/>
  <c r="K35" i="14"/>
  <c r="Q40" i="14"/>
  <c r="V40" i="14"/>
  <c r="S40" i="14"/>
  <c r="O39" i="14"/>
  <c r="O30" i="14"/>
  <c r="J91" i="14"/>
  <c r="R91" i="14"/>
  <c r="R97" i="14"/>
  <c r="R89" i="14"/>
  <c r="J124" i="14"/>
  <c r="J126" i="14"/>
  <c r="R124" i="14"/>
  <c r="R126" i="14"/>
  <c r="X173" i="14"/>
  <c r="R184" i="14"/>
  <c r="R181" i="14"/>
  <c r="O187" i="14"/>
  <c r="O193" i="14"/>
  <c r="U191" i="14"/>
  <c r="K34" i="14"/>
  <c r="K32" i="14"/>
  <c r="S33" i="14"/>
  <c r="AG75" i="14"/>
  <c r="AG79" i="14"/>
  <c r="U93" i="14"/>
  <c r="U98" i="14"/>
  <c r="AB170" i="14"/>
  <c r="AB171" i="14"/>
  <c r="O184" i="14"/>
  <c r="O181" i="14"/>
  <c r="M85" i="14"/>
  <c r="M88" i="14"/>
  <c r="N130" i="14"/>
  <c r="X124" i="14"/>
  <c r="N146" i="14"/>
  <c r="U188" i="14"/>
  <c r="Q28" i="14"/>
  <c r="S26" i="14"/>
  <c r="T28" i="14"/>
  <c r="O26" i="14"/>
  <c r="Q29" i="14"/>
  <c r="T29" i="14"/>
  <c r="R26" i="14"/>
  <c r="P26" i="14"/>
  <c r="J28" i="14"/>
  <c r="J85" i="14"/>
  <c r="M29" i="14"/>
  <c r="J181" i="14"/>
  <c r="J39" i="14"/>
  <c r="N85" i="14"/>
  <c r="AB81" i="14"/>
  <c r="AB82" i="14"/>
  <c r="R88" i="14"/>
  <c r="R85" i="14"/>
  <c r="O186" i="14"/>
  <c r="X81" i="14"/>
  <c r="X82" i="14"/>
  <c r="U87" i="14"/>
  <c r="N135" i="14"/>
  <c r="N184" i="14"/>
  <c r="AG68" i="14"/>
  <c r="J81" i="14"/>
  <c r="M90" i="14"/>
  <c r="U92" i="14"/>
  <c r="J97" i="14"/>
  <c r="J131" i="14"/>
  <c r="J135" i="14"/>
  <c r="J133" i="14"/>
  <c r="O133" i="14"/>
  <c r="J142" i="14"/>
  <c r="R167" i="14"/>
  <c r="R171" i="14"/>
  <c r="X170" i="14"/>
  <c r="X175" i="14"/>
  <c r="R173" i="14"/>
  <c r="J186" i="14"/>
  <c r="N182" i="14"/>
  <c r="M131" i="14"/>
  <c r="M130" i="14"/>
  <c r="M182" i="14"/>
  <c r="N164" i="13"/>
  <c r="M176" i="13"/>
  <c r="M168" i="13"/>
  <c r="K167" i="13"/>
  <c r="K176" i="13"/>
  <c r="J164" i="13"/>
  <c r="S105" i="13"/>
  <c r="AA58" i="13"/>
  <c r="M72" i="13"/>
  <c r="N64" i="13"/>
  <c r="N65" i="13"/>
  <c r="Z21" i="13"/>
  <c r="Z22" i="13"/>
  <c r="K39" i="13"/>
  <c r="K30" i="13"/>
  <c r="K41" i="13"/>
  <c r="K42" i="13"/>
  <c r="L26" i="13"/>
  <c r="L41" i="13"/>
  <c r="L42" i="13"/>
  <c r="N21" i="13"/>
  <c r="N22" i="13"/>
  <c r="AA18" i="13"/>
  <c r="L39" i="13"/>
  <c r="L30" i="13"/>
  <c r="J29" i="13"/>
  <c r="J21" i="13"/>
  <c r="AA7" i="13"/>
  <c r="J168" i="13"/>
  <c r="O73" i="13"/>
  <c r="L68" i="13"/>
  <c r="L82" i="13"/>
  <c r="L83" i="13"/>
  <c r="J72" i="13"/>
  <c r="N168" i="13"/>
  <c r="M28" i="13"/>
  <c r="M26" i="13"/>
  <c r="M41" i="13"/>
  <c r="M42" i="13"/>
  <c r="O33" i="13"/>
  <c r="J39" i="13"/>
  <c r="J64" i="13"/>
  <c r="N71" i="13"/>
  <c r="N68" i="13"/>
  <c r="L116" i="13"/>
  <c r="L113" i="13"/>
  <c r="L127" i="13"/>
  <c r="L128" i="13"/>
  <c r="R64" i="13"/>
  <c r="R65" i="13"/>
  <c r="K72" i="13"/>
  <c r="K82" i="13"/>
  <c r="K83" i="13"/>
  <c r="K74" i="13"/>
  <c r="K80" i="13"/>
  <c r="J107" i="13"/>
  <c r="N109" i="13"/>
  <c r="K114" i="13"/>
  <c r="K113" i="13"/>
  <c r="L164" i="13"/>
  <c r="R107" i="13"/>
  <c r="J71" i="13"/>
  <c r="S94" i="13"/>
  <c r="N153" i="13"/>
  <c r="N158" i="13"/>
  <c r="O165" i="13"/>
  <c r="K169" i="13"/>
  <c r="O171" i="13"/>
  <c r="AA12" i="13"/>
  <c r="J114" i="13"/>
  <c r="V153" i="13"/>
  <c r="O170" i="13"/>
  <c r="J29" i="8"/>
  <c r="AA7" i="8"/>
  <c r="K68" i="8"/>
  <c r="J118" i="8"/>
  <c r="K118" i="8"/>
  <c r="K117" i="8"/>
  <c r="K113" i="8"/>
  <c r="J39" i="8"/>
  <c r="O73" i="8"/>
  <c r="M68" i="8"/>
  <c r="K29" i="8"/>
  <c r="K26" i="8"/>
  <c r="S105" i="8"/>
  <c r="J176" i="8"/>
  <c r="J168" i="8"/>
  <c r="AA51" i="8"/>
  <c r="L71" i="8"/>
  <c r="O71" i="8"/>
  <c r="J116" i="8"/>
  <c r="M116" i="8"/>
  <c r="L113" i="8"/>
  <c r="O172" i="8"/>
  <c r="L167" i="8"/>
  <c r="O167" i="8"/>
  <c r="M26" i="8"/>
  <c r="AA62" i="8"/>
  <c r="J72" i="8"/>
  <c r="O174" i="8"/>
  <c r="M170" i="8"/>
  <c r="M176" i="8"/>
  <c r="R107" i="8"/>
  <c r="R108" i="8"/>
  <c r="N26" i="8"/>
  <c r="N41" i="8"/>
  <c r="N42" i="8"/>
  <c r="M120" i="8"/>
  <c r="M121" i="8"/>
  <c r="Z153" i="8"/>
  <c r="Z157" i="8"/>
  <c r="K170" i="8"/>
  <c r="K176" i="8"/>
  <c r="O176" i="8"/>
  <c r="V21" i="8"/>
  <c r="V22" i="8"/>
  <c r="AA16" i="8"/>
  <c r="J21" i="8"/>
  <c r="J22" i="8"/>
  <c r="J28" i="8"/>
  <c r="J26" i="8"/>
  <c r="M114" i="8"/>
  <c r="J164" i="8"/>
  <c r="L168" i="8"/>
  <c r="N168" i="8"/>
  <c r="N164" i="8"/>
  <c r="O171" i="8"/>
  <c r="M164" i="8"/>
  <c r="O173" i="8"/>
  <c r="O165" i="8"/>
  <c r="O169" i="8"/>
  <c r="O166" i="8"/>
  <c r="M122" i="8"/>
  <c r="L117" i="8"/>
  <c r="L127" i="8"/>
  <c r="L128" i="8"/>
  <c r="S94" i="8"/>
  <c r="N72" i="8"/>
  <c r="N82" i="8"/>
  <c r="N83" i="8"/>
  <c r="M72" i="8"/>
  <c r="L72" i="8"/>
  <c r="K74" i="8"/>
  <c r="K80" i="8"/>
  <c r="O80" i="8"/>
  <c r="O75" i="8"/>
  <c r="O70" i="8"/>
  <c r="Z64" i="8"/>
  <c r="Z65" i="8"/>
  <c r="V64" i="8"/>
  <c r="V65" i="8"/>
  <c r="N64" i="8"/>
  <c r="N65" i="8"/>
  <c r="M30" i="8"/>
  <c r="M41" i="8"/>
  <c r="M42" i="8"/>
  <c r="O33" i="8"/>
  <c r="L26" i="8"/>
  <c r="L41" i="8"/>
  <c r="L42" i="8"/>
  <c r="J30" i="8"/>
  <c r="O40" i="8"/>
  <c r="N22" i="8"/>
  <c r="R22" i="8"/>
  <c r="N108" i="8"/>
  <c r="V154" i="8"/>
  <c r="N153" i="8"/>
  <c r="N158" i="8"/>
  <c r="J64" i="8"/>
  <c r="J109" i="8"/>
  <c r="M118" i="8"/>
  <c r="O74" i="8"/>
  <c r="O29" i="13"/>
  <c r="U193" i="14"/>
  <c r="V33" i="14"/>
  <c r="V32" i="14"/>
  <c r="K41" i="8"/>
  <c r="K42" i="8"/>
  <c r="O167" i="13"/>
  <c r="Z34" i="14"/>
  <c r="J209" i="16"/>
  <c r="M168" i="8"/>
  <c r="M82" i="13"/>
  <c r="M83" i="13"/>
  <c r="M178" i="13"/>
  <c r="M180" i="13"/>
  <c r="W34" i="14"/>
  <c r="J89" i="16"/>
  <c r="O88" i="16"/>
  <c r="O112" i="16"/>
  <c r="J117" i="8"/>
  <c r="O80" i="13"/>
  <c r="N72" i="13"/>
  <c r="N82" i="13"/>
  <c r="N83" i="13"/>
  <c r="J26" i="13"/>
  <c r="K164" i="13"/>
  <c r="U97" i="14"/>
  <c r="N134" i="14"/>
  <c r="N144" i="14"/>
  <c r="N145" i="14"/>
  <c r="Y34" i="14"/>
  <c r="M119" i="8"/>
  <c r="K72" i="8"/>
  <c r="K82" i="8"/>
  <c r="K83" i="8"/>
  <c r="M116" i="13"/>
  <c r="R125" i="14"/>
  <c r="R185" i="14"/>
  <c r="R195" i="14"/>
  <c r="R198" i="14"/>
  <c r="U33" i="14"/>
  <c r="S32" i="14"/>
  <c r="O136" i="14"/>
  <c r="K127" i="8"/>
  <c r="X126" i="14"/>
  <c r="Y35" i="14"/>
  <c r="M148" i="16"/>
  <c r="J158" i="16"/>
  <c r="L164" i="8"/>
  <c r="L178" i="8"/>
  <c r="M82" i="8"/>
  <c r="M83" i="8"/>
  <c r="J113" i="8"/>
  <c r="M113" i="8"/>
  <c r="X125" i="14"/>
  <c r="L168" i="13"/>
  <c r="L178" i="13"/>
  <c r="L179" i="13"/>
  <c r="J112" i="16"/>
  <c r="O209" i="16"/>
  <c r="J210" i="16"/>
  <c r="R111" i="15"/>
  <c r="R110" i="15"/>
  <c r="O39" i="15"/>
  <c r="O30" i="15"/>
  <c r="J30" i="15"/>
  <c r="O28" i="15"/>
  <c r="O26" i="15"/>
  <c r="J26" i="15"/>
  <c r="S109" i="15"/>
  <c r="O172" i="15"/>
  <c r="M166" i="15"/>
  <c r="N110" i="15"/>
  <c r="L119" i="15"/>
  <c r="L129" i="15"/>
  <c r="L130" i="15"/>
  <c r="M74" i="15"/>
  <c r="M84" i="15"/>
  <c r="M85" i="15"/>
  <c r="L170" i="15"/>
  <c r="L180" i="15"/>
  <c r="L181" i="15"/>
  <c r="L131" i="15"/>
  <c r="O169" i="15"/>
  <c r="M127" i="15"/>
  <c r="O178" i="15"/>
  <c r="K82" i="15"/>
  <c r="K74" i="15"/>
  <c r="K84" i="15"/>
  <c r="K85" i="15"/>
  <c r="M121" i="15"/>
  <c r="K166" i="15"/>
  <c r="O76" i="15"/>
  <c r="J110" i="15"/>
  <c r="K120" i="15"/>
  <c r="K119" i="15"/>
  <c r="K129" i="15"/>
  <c r="N82" i="15"/>
  <c r="N74" i="15"/>
  <c r="N84" i="15"/>
  <c r="N85" i="15"/>
  <c r="N166" i="15"/>
  <c r="L74" i="15"/>
  <c r="L84" i="15"/>
  <c r="L85" i="15"/>
  <c r="M116" i="15"/>
  <c r="J115" i="15"/>
  <c r="AA65" i="15"/>
  <c r="J66" i="15"/>
  <c r="J22" i="15"/>
  <c r="AA22" i="15"/>
  <c r="AA21" i="15"/>
  <c r="J170" i="15"/>
  <c r="O167" i="15"/>
  <c r="P147" i="15"/>
  <c r="J166" i="15"/>
  <c r="M170" i="15"/>
  <c r="K171" i="15"/>
  <c r="K170" i="15"/>
  <c r="J74" i="15"/>
  <c r="O70" i="15"/>
  <c r="M118" i="15"/>
  <c r="J119" i="15"/>
  <c r="J22" i="14"/>
  <c r="AG22" i="14"/>
  <c r="AG21" i="14"/>
  <c r="L29" i="14"/>
  <c r="Q26" i="14"/>
  <c r="U35" i="14"/>
  <c r="W35" i="14"/>
  <c r="O185" i="14"/>
  <c r="O195" i="14"/>
  <c r="O197" i="14"/>
  <c r="AB172" i="14"/>
  <c r="R30" i="14"/>
  <c r="R41" i="14"/>
  <c r="R42" i="14"/>
  <c r="X35" i="14"/>
  <c r="O142" i="14"/>
  <c r="N99" i="14"/>
  <c r="N100" i="14"/>
  <c r="J125" i="14"/>
  <c r="Q39" i="14"/>
  <c r="Q30" i="14"/>
  <c r="S39" i="14"/>
  <c r="U34" i="14"/>
  <c r="W33" i="14"/>
  <c r="W40" i="14"/>
  <c r="Y40" i="14"/>
  <c r="Z40" i="14"/>
  <c r="X40" i="14"/>
  <c r="M184" i="14"/>
  <c r="U184" i="14"/>
  <c r="J89" i="14"/>
  <c r="U40" i="14"/>
  <c r="N181" i="14"/>
  <c r="M89" i="14"/>
  <c r="M99" i="14"/>
  <c r="M100" i="14"/>
  <c r="U187" i="14"/>
  <c r="N186" i="14"/>
  <c r="N185" i="14"/>
  <c r="P39" i="14"/>
  <c r="P30" i="14"/>
  <c r="P41" i="14"/>
  <c r="P42" i="14"/>
  <c r="O41" i="14"/>
  <c r="O42" i="14"/>
  <c r="U91" i="14"/>
  <c r="T26" i="14"/>
  <c r="T41" i="14"/>
  <c r="T42" i="14"/>
  <c r="K39" i="14"/>
  <c r="L39" i="14"/>
  <c r="K28" i="14"/>
  <c r="L28" i="14"/>
  <c r="J30" i="14"/>
  <c r="V29" i="14"/>
  <c r="J134" i="14"/>
  <c r="J185" i="14"/>
  <c r="U85" i="14"/>
  <c r="U90" i="14"/>
  <c r="M26" i="14"/>
  <c r="M41" i="14"/>
  <c r="M42" i="14"/>
  <c r="R170" i="14"/>
  <c r="R175" i="14"/>
  <c r="M135" i="14"/>
  <c r="M134" i="14"/>
  <c r="O131" i="14"/>
  <c r="J130" i="14"/>
  <c r="J26" i="14"/>
  <c r="AG81" i="14"/>
  <c r="J82" i="14"/>
  <c r="M144" i="14"/>
  <c r="R99" i="14"/>
  <c r="R100" i="14"/>
  <c r="U182" i="14"/>
  <c r="M186" i="14"/>
  <c r="M185" i="14"/>
  <c r="U88" i="14"/>
  <c r="N178" i="13"/>
  <c r="N181" i="13"/>
  <c r="O176" i="13"/>
  <c r="K168" i="13"/>
  <c r="K178" i="13"/>
  <c r="K179" i="13"/>
  <c r="O164" i="13"/>
  <c r="O169" i="13"/>
  <c r="J178" i="13"/>
  <c r="J179" i="13"/>
  <c r="K118" i="13"/>
  <c r="K117" i="13"/>
  <c r="K127" i="13"/>
  <c r="S107" i="13"/>
  <c r="S109" i="13"/>
  <c r="O39" i="13"/>
  <c r="O30" i="13"/>
  <c r="J30" i="13"/>
  <c r="J113" i="13"/>
  <c r="M114" i="13"/>
  <c r="AA64" i="13"/>
  <c r="J65" i="13"/>
  <c r="J22" i="13"/>
  <c r="AA22" i="13"/>
  <c r="AA21" i="13"/>
  <c r="V154" i="13"/>
  <c r="V155" i="13"/>
  <c r="J68" i="13"/>
  <c r="O71" i="13"/>
  <c r="L129" i="13"/>
  <c r="R109" i="13"/>
  <c r="R108" i="13"/>
  <c r="J109" i="13"/>
  <c r="J108" i="13"/>
  <c r="J118" i="13"/>
  <c r="O74" i="13"/>
  <c r="O28" i="13"/>
  <c r="O26" i="13"/>
  <c r="J65" i="8"/>
  <c r="AA64" i="8"/>
  <c r="J178" i="8"/>
  <c r="J179" i="8"/>
  <c r="O164" i="8"/>
  <c r="R109" i="8"/>
  <c r="L129" i="8"/>
  <c r="L68" i="8"/>
  <c r="O68" i="8"/>
  <c r="K168" i="8"/>
  <c r="K178" i="8"/>
  <c r="K179" i="8"/>
  <c r="O170" i="8"/>
  <c r="J82" i="8"/>
  <c r="J83" i="8"/>
  <c r="O29" i="8"/>
  <c r="S107" i="8"/>
  <c r="S109" i="8"/>
  <c r="M178" i="8"/>
  <c r="M180" i="8"/>
  <c r="O28" i="8"/>
  <c r="J41" i="8"/>
  <c r="J42" i="8"/>
  <c r="K128" i="8"/>
  <c r="K129" i="8"/>
  <c r="M117" i="8"/>
  <c r="L179" i="8"/>
  <c r="N178" i="8"/>
  <c r="N181" i="8"/>
  <c r="O39" i="8"/>
  <c r="O30" i="8"/>
  <c r="AA22" i="8"/>
  <c r="AA21" i="8"/>
  <c r="J108" i="8"/>
  <c r="O72" i="13"/>
  <c r="S30" i="14"/>
  <c r="S41" i="14"/>
  <c r="S42" i="14"/>
  <c r="Y33" i="14"/>
  <c r="U32" i="14"/>
  <c r="O168" i="13"/>
  <c r="X33" i="14"/>
  <c r="X32" i="14"/>
  <c r="M180" i="15"/>
  <c r="M182" i="15"/>
  <c r="O72" i="8"/>
  <c r="Z33" i="14"/>
  <c r="Z32" i="14"/>
  <c r="J127" i="8"/>
  <c r="Y32" i="14"/>
  <c r="Q41" i="14"/>
  <c r="Q42" i="14"/>
  <c r="M158" i="16"/>
  <c r="J159" i="16"/>
  <c r="J160" i="16"/>
  <c r="W32" i="14"/>
  <c r="J41" i="13"/>
  <c r="O41" i="13"/>
  <c r="N195" i="14"/>
  <c r="N196" i="14"/>
  <c r="A216" i="16"/>
  <c r="J41" i="15"/>
  <c r="J42" i="15"/>
  <c r="N170" i="15"/>
  <c r="M120" i="15"/>
  <c r="K180" i="15"/>
  <c r="K181" i="15"/>
  <c r="O82" i="15"/>
  <c r="M119" i="15"/>
  <c r="O74" i="15"/>
  <c r="J84" i="15"/>
  <c r="K131" i="15"/>
  <c r="K130" i="15"/>
  <c r="O166" i="15"/>
  <c r="J180" i="15"/>
  <c r="M115" i="15"/>
  <c r="J129" i="15"/>
  <c r="O171" i="15"/>
  <c r="U89" i="14"/>
  <c r="M181" i="14"/>
  <c r="U181" i="14"/>
  <c r="J99" i="14"/>
  <c r="U99" i="14"/>
  <c r="O135" i="14"/>
  <c r="V39" i="14"/>
  <c r="L30" i="14"/>
  <c r="W29" i="14"/>
  <c r="X29" i="14"/>
  <c r="Y29" i="14"/>
  <c r="Z29" i="14"/>
  <c r="K26" i="14"/>
  <c r="U28" i="14"/>
  <c r="U26" i="14"/>
  <c r="V28" i="14"/>
  <c r="L26" i="14"/>
  <c r="U39" i="14"/>
  <c r="U30" i="14"/>
  <c r="K30" i="14"/>
  <c r="J41" i="14"/>
  <c r="J42" i="14"/>
  <c r="M146" i="14"/>
  <c r="M145" i="14"/>
  <c r="J144" i="14"/>
  <c r="O130" i="14"/>
  <c r="U186" i="14"/>
  <c r="U185" i="14"/>
  <c r="O134" i="14"/>
  <c r="J195" i="14"/>
  <c r="O178" i="13"/>
  <c r="K129" i="13"/>
  <c r="K128" i="13"/>
  <c r="J82" i="13"/>
  <c r="O68" i="13"/>
  <c r="J117" i="13"/>
  <c r="M117" i="13"/>
  <c r="M118" i="13"/>
  <c r="J42" i="13"/>
  <c r="M113" i="13"/>
  <c r="L82" i="8"/>
  <c r="O168" i="8"/>
  <c r="O26" i="8"/>
  <c r="O41" i="8"/>
  <c r="J129" i="8"/>
  <c r="J128" i="8"/>
  <c r="M127" i="8"/>
  <c r="O178" i="8"/>
  <c r="X36" i="1"/>
  <c r="Z36" i="1"/>
  <c r="T36" i="1"/>
  <c r="V36" i="1"/>
  <c r="P36" i="1"/>
  <c r="R36" i="1"/>
  <c r="H36" i="1"/>
  <c r="J36" i="1"/>
  <c r="X35" i="1"/>
  <c r="Z35" i="1"/>
  <c r="T35" i="1"/>
  <c r="V35" i="1"/>
  <c r="P35" i="1"/>
  <c r="R35" i="1"/>
  <c r="L35" i="1"/>
  <c r="N35" i="1"/>
  <c r="H35" i="1"/>
  <c r="J35" i="1"/>
  <c r="X34" i="1"/>
  <c r="T34" i="1"/>
  <c r="P34" i="1"/>
  <c r="L34" i="1"/>
  <c r="H34" i="1"/>
  <c r="X33" i="1"/>
  <c r="Z33" i="1"/>
  <c r="T33" i="1"/>
  <c r="V33" i="1"/>
  <c r="P33" i="1"/>
  <c r="R33" i="1"/>
  <c r="L33" i="1"/>
  <c r="H33" i="1"/>
  <c r="J33" i="1"/>
  <c r="J100" i="14"/>
  <c r="M195" i="14"/>
  <c r="M196" i="14"/>
  <c r="J127" i="13"/>
  <c r="N180" i="15"/>
  <c r="O41" i="15"/>
  <c r="O170" i="15"/>
  <c r="J85" i="15"/>
  <c r="O84" i="15"/>
  <c r="J131" i="15"/>
  <c r="M129" i="15"/>
  <c r="J130" i="15"/>
  <c r="J181" i="15"/>
  <c r="L41" i="14"/>
  <c r="L42" i="14"/>
  <c r="W28" i="14"/>
  <c r="W26" i="14"/>
  <c r="X28" i="14"/>
  <c r="Y28" i="14"/>
  <c r="Y26" i="14"/>
  <c r="Z28" i="14"/>
  <c r="Z26" i="14"/>
  <c r="W39" i="14"/>
  <c r="W30" i="14"/>
  <c r="X39" i="14"/>
  <c r="X30" i="14"/>
  <c r="V30" i="14"/>
  <c r="Y39" i="14"/>
  <c r="Y30" i="14"/>
  <c r="Z39" i="14"/>
  <c r="Z30" i="14"/>
  <c r="V26" i="14"/>
  <c r="K41" i="14"/>
  <c r="K42" i="14"/>
  <c r="U41" i="14"/>
  <c r="U42" i="14"/>
  <c r="X26" i="14"/>
  <c r="X41" i="14"/>
  <c r="X42" i="14"/>
  <c r="U195" i="14"/>
  <c r="J196" i="14"/>
  <c r="J145" i="14"/>
  <c r="J146" i="14"/>
  <c r="O144" i="14"/>
  <c r="J129" i="13"/>
  <c r="M127" i="13"/>
  <c r="J128" i="13"/>
  <c r="J83" i="13"/>
  <c r="O82" i="13"/>
  <c r="L83" i="8"/>
  <c r="O82" i="8"/>
  <c r="O91" i="6"/>
  <c r="O88" i="6"/>
  <c r="O79" i="6"/>
  <c r="N81" i="6"/>
  <c r="N90" i="6"/>
  <c r="N87" i="6"/>
  <c r="N86" i="6"/>
  <c r="N85" i="6"/>
  <c r="N80" i="6"/>
  <c r="M83" i="6"/>
  <c r="M90" i="6"/>
  <c r="M87" i="6"/>
  <c r="M86" i="6"/>
  <c r="M85" i="6"/>
  <c r="M81" i="6"/>
  <c r="M80" i="6"/>
  <c r="L83" i="6"/>
  <c r="L90" i="6"/>
  <c r="L86" i="6"/>
  <c r="L85" i="6"/>
  <c r="L81" i="6"/>
  <c r="L80" i="6"/>
  <c r="L92" i="6"/>
  <c r="L93" i="6"/>
  <c r="K90" i="6"/>
  <c r="K87" i="6"/>
  <c r="K86" i="6"/>
  <c r="K85" i="6"/>
  <c r="K81" i="6"/>
  <c r="K80" i="6"/>
  <c r="J90" i="6"/>
  <c r="O90" i="6"/>
  <c r="J87" i="6"/>
  <c r="O87" i="6"/>
  <c r="J86" i="6"/>
  <c r="J85" i="6"/>
  <c r="J81" i="6"/>
  <c r="J80" i="6"/>
  <c r="L69" i="6"/>
  <c r="L65" i="6"/>
  <c r="O85" i="6"/>
  <c r="O81" i="6"/>
  <c r="O86" i="6"/>
  <c r="O83" i="6"/>
  <c r="N183" i="15"/>
  <c r="O180" i="15"/>
  <c r="A187" i="15"/>
  <c r="V41" i="14"/>
  <c r="V42" i="14"/>
  <c r="Z41" i="14"/>
  <c r="Z42" i="14"/>
  <c r="Y41" i="14"/>
  <c r="Y42" i="14"/>
  <c r="W41" i="14"/>
  <c r="W42" i="14"/>
  <c r="N92" i="6"/>
  <c r="N95" i="6"/>
  <c r="M92" i="6"/>
  <c r="M94" i="6"/>
  <c r="K92" i="6"/>
  <c r="K93" i="6"/>
  <c r="J92" i="6"/>
  <c r="J93" i="6"/>
  <c r="O80" i="6"/>
  <c r="O92" i="6"/>
  <c r="L66" i="6"/>
  <c r="L64" i="6"/>
  <c r="L60" i="6"/>
  <c r="L59" i="6"/>
  <c r="L62" i="6"/>
  <c r="L58" i="6"/>
  <c r="L71" i="6"/>
  <c r="K69" i="6"/>
  <c r="K66" i="6"/>
  <c r="K65" i="6"/>
  <c r="K64" i="6"/>
  <c r="K60" i="6"/>
  <c r="K59" i="6"/>
  <c r="J69" i="6"/>
  <c r="J66" i="6"/>
  <c r="J65" i="6"/>
  <c r="J64" i="6"/>
  <c r="M64" i="6"/>
  <c r="J60" i="6"/>
  <c r="J59" i="6"/>
  <c r="J71" i="6"/>
  <c r="M70" i="6"/>
  <c r="K71" i="6"/>
  <c r="J73" i="6"/>
  <c r="J72" i="6"/>
  <c r="L72" i="6"/>
  <c r="L73" i="6"/>
  <c r="K73" i="6"/>
  <c r="K72" i="6"/>
  <c r="M65" i="6"/>
  <c r="M59" i="6"/>
  <c r="M60" i="6"/>
  <c r="M66" i="6"/>
  <c r="M71" i="6"/>
  <c r="N45" i="6"/>
  <c r="N48" i="6"/>
  <c r="N44" i="6"/>
  <c r="N43" i="6"/>
  <c r="N39" i="6"/>
  <c r="N38" i="6"/>
  <c r="M48" i="6"/>
  <c r="M45" i="6"/>
  <c r="M44" i="6"/>
  <c r="M43" i="6"/>
  <c r="O43" i="6"/>
  <c r="M39" i="6"/>
  <c r="M38" i="6"/>
  <c r="M50" i="6"/>
  <c r="M51" i="6"/>
  <c r="L48" i="6"/>
  <c r="L44" i="6"/>
  <c r="L43" i="6"/>
  <c r="L39" i="6"/>
  <c r="L38" i="6"/>
  <c r="K48" i="6"/>
  <c r="K45" i="6"/>
  <c r="K44" i="6"/>
  <c r="K43" i="6"/>
  <c r="K39" i="6"/>
  <c r="K38" i="6"/>
  <c r="J39" i="6"/>
  <c r="J38" i="6"/>
  <c r="L46" i="4"/>
  <c r="H46" i="4"/>
  <c r="J48" i="6"/>
  <c r="O49" i="6"/>
  <c r="J45" i="6"/>
  <c r="J44" i="6"/>
  <c r="J43" i="6"/>
  <c r="N17" i="6"/>
  <c r="L17" i="6"/>
  <c r="K17" i="6"/>
  <c r="N16" i="6"/>
  <c r="M16" i="6"/>
  <c r="L16" i="6"/>
  <c r="K16" i="6"/>
  <c r="J16" i="6"/>
  <c r="N12" i="6"/>
  <c r="M12" i="6"/>
  <c r="L12" i="6"/>
  <c r="K12" i="6"/>
  <c r="J12" i="6"/>
  <c r="N11" i="6"/>
  <c r="M11" i="6"/>
  <c r="L11" i="6"/>
  <c r="K11" i="6"/>
  <c r="N10" i="6"/>
  <c r="M10" i="6"/>
  <c r="L10" i="6"/>
  <c r="K10" i="6"/>
  <c r="N6" i="6"/>
  <c r="M6" i="6"/>
  <c r="L6" i="6"/>
  <c r="K6" i="6"/>
  <c r="J6" i="6"/>
  <c r="N5" i="6"/>
  <c r="M5" i="6"/>
  <c r="L5" i="6"/>
  <c r="K5" i="6"/>
  <c r="J5" i="6"/>
  <c r="N38" i="4"/>
  <c r="N37" i="4"/>
  <c r="N33" i="4"/>
  <c r="N32" i="4"/>
  <c r="N31" i="4"/>
  <c r="N27" i="4"/>
  <c r="N26" i="4"/>
  <c r="V10" i="4"/>
  <c r="V18" i="4"/>
  <c r="M37" i="4"/>
  <c r="M33" i="4"/>
  <c r="M32" i="4"/>
  <c r="M31" i="4"/>
  <c r="M27" i="4"/>
  <c r="M26" i="4"/>
  <c r="L32" i="4"/>
  <c r="L31" i="4"/>
  <c r="L37" i="4"/>
  <c r="L38" i="4"/>
  <c r="L33" i="4"/>
  <c r="L27" i="4"/>
  <c r="L26" i="4"/>
  <c r="K38" i="4"/>
  <c r="K37" i="4"/>
  <c r="K33" i="4"/>
  <c r="K32" i="4"/>
  <c r="O32" i="4"/>
  <c r="K31" i="4"/>
  <c r="K27" i="4"/>
  <c r="K26" i="4"/>
  <c r="J37" i="4"/>
  <c r="J26" i="4"/>
  <c r="O26" i="4"/>
  <c r="J27" i="4"/>
  <c r="J33" i="4"/>
  <c r="P8" i="2"/>
  <c r="K50" i="6"/>
  <c r="K51" i="6"/>
  <c r="O27" i="4"/>
  <c r="O38" i="4"/>
  <c r="O37" i="4"/>
  <c r="O33" i="4"/>
  <c r="O31" i="4"/>
  <c r="O44" i="6"/>
  <c r="L50" i="6"/>
  <c r="L51" i="6"/>
  <c r="O45" i="6"/>
  <c r="N50" i="6"/>
  <c r="N51" i="6"/>
  <c r="M18" i="6"/>
  <c r="M19" i="6"/>
  <c r="O16" i="6"/>
  <c r="O17" i="6"/>
  <c r="L18" i="6"/>
  <c r="L19" i="6"/>
  <c r="O10" i="6"/>
  <c r="O11" i="6"/>
  <c r="O12" i="6"/>
  <c r="K18" i="6"/>
  <c r="K19" i="6"/>
  <c r="O6" i="6"/>
  <c r="N18" i="6"/>
  <c r="N19" i="6"/>
  <c r="O38" i="6"/>
  <c r="J50" i="6"/>
  <c r="J51" i="6"/>
  <c r="O39" i="6"/>
  <c r="J18" i="6"/>
  <c r="O5" i="6"/>
  <c r="K39" i="4"/>
  <c r="K40" i="4"/>
  <c r="L39" i="4"/>
  <c r="L40" i="4"/>
  <c r="M39" i="4"/>
  <c r="M40" i="4"/>
  <c r="N39" i="4"/>
  <c r="N40" i="4"/>
  <c r="J39" i="4"/>
  <c r="J40" i="4"/>
  <c r="O39" i="4"/>
  <c r="O50" i="6"/>
  <c r="O18" i="6"/>
  <c r="J19" i="6"/>
  <c r="Z89" i="4"/>
  <c r="Z96" i="4"/>
  <c r="V87" i="4"/>
  <c r="V96" i="4"/>
  <c r="V97" i="4"/>
  <c r="X83" i="4"/>
  <c r="T83" i="4"/>
  <c r="J99" i="4"/>
  <c r="J97" i="4"/>
  <c r="P93" i="4"/>
  <c r="L93" i="4"/>
  <c r="H93" i="4"/>
  <c r="H91" i="4"/>
  <c r="P91" i="4"/>
  <c r="P90" i="4"/>
  <c r="L91" i="4"/>
  <c r="L90" i="4"/>
  <c r="H90" i="4"/>
  <c r="P89" i="4"/>
  <c r="L89" i="4"/>
  <c r="H89" i="4"/>
  <c r="P88" i="4"/>
  <c r="P87" i="4"/>
  <c r="L88" i="4"/>
  <c r="L87" i="4"/>
  <c r="H88" i="4"/>
  <c r="H87" i="4"/>
  <c r="H84" i="4"/>
  <c r="P84" i="4"/>
  <c r="L84" i="4"/>
  <c r="P83" i="4"/>
  <c r="R83" i="4"/>
  <c r="L83" i="4"/>
  <c r="N83" i="4"/>
  <c r="H83" i="4"/>
  <c r="R87" i="4"/>
  <c r="R96" i="4"/>
  <c r="R101" i="4"/>
  <c r="N87" i="4"/>
  <c r="N96" i="4"/>
  <c r="N101" i="4"/>
  <c r="V98" i="4"/>
  <c r="J87" i="4"/>
  <c r="J96" i="4"/>
  <c r="J101" i="4"/>
  <c r="J44" i="4"/>
  <c r="H48" i="4"/>
  <c r="J48" i="4"/>
  <c r="J98" i="4"/>
  <c r="R68" i="4"/>
  <c r="S68" i="4"/>
  <c r="R66" i="4"/>
  <c r="S66" i="4"/>
  <c r="S75" i="4"/>
  <c r="S74" i="4"/>
  <c r="S65" i="4"/>
  <c r="S67" i="4"/>
  <c r="S69" i="4"/>
  <c r="S70" i="4"/>
  <c r="S71" i="4"/>
  <c r="S72" i="4"/>
  <c r="S73" i="4"/>
  <c r="H71" i="4"/>
  <c r="H70" i="4"/>
  <c r="H69" i="4"/>
  <c r="R63" i="4"/>
  <c r="J64" i="4"/>
  <c r="S64" i="4"/>
  <c r="R76" i="4"/>
  <c r="N63" i="4"/>
  <c r="N76" i="4"/>
  <c r="H63" i="4"/>
  <c r="J63" i="4"/>
  <c r="J76" i="4"/>
  <c r="J56" i="4"/>
  <c r="AA56" i="4"/>
  <c r="AA55" i="4"/>
  <c r="AA18" i="4"/>
  <c r="AA17" i="4"/>
  <c r="AA16" i="4"/>
  <c r="AA15" i="4"/>
  <c r="Z14" i="4"/>
  <c r="Z19" i="4"/>
  <c r="Z20" i="4"/>
  <c r="V14" i="4"/>
  <c r="R14" i="4"/>
  <c r="N14" i="4"/>
  <c r="T13" i="4"/>
  <c r="V13" i="4"/>
  <c r="P13" i="4"/>
  <c r="R13" i="4"/>
  <c r="L13" i="4"/>
  <c r="N13" i="4"/>
  <c r="H13" i="4"/>
  <c r="J13" i="4"/>
  <c r="X12" i="4"/>
  <c r="P12" i="4"/>
  <c r="R12" i="4"/>
  <c r="L12" i="4"/>
  <c r="N12" i="4"/>
  <c r="H12" i="4"/>
  <c r="J12" i="4"/>
  <c r="H11" i="4"/>
  <c r="J11" i="4"/>
  <c r="AA11" i="4"/>
  <c r="AA10" i="4"/>
  <c r="X10" i="4"/>
  <c r="T10" i="4"/>
  <c r="P10" i="4"/>
  <c r="L10" i="4"/>
  <c r="H10" i="4"/>
  <c r="AA9" i="4"/>
  <c r="AA8" i="4"/>
  <c r="X9" i="4"/>
  <c r="T9" i="4"/>
  <c r="P9" i="4"/>
  <c r="L9" i="4"/>
  <c r="H9" i="4"/>
  <c r="X8" i="4"/>
  <c r="T8" i="4"/>
  <c r="P8" i="4"/>
  <c r="L8" i="4"/>
  <c r="H8" i="4"/>
  <c r="AA7" i="4"/>
  <c r="X6" i="4"/>
  <c r="AA14" i="4"/>
  <c r="N78" i="4"/>
  <c r="N77" i="4"/>
  <c r="J78" i="4"/>
  <c r="J77" i="4"/>
  <c r="R77" i="4"/>
  <c r="R78" i="4"/>
  <c r="S63" i="4"/>
  <c r="S76" i="4"/>
  <c r="S78" i="4"/>
  <c r="AA12" i="4"/>
  <c r="AA13" i="4"/>
  <c r="V19" i="4"/>
  <c r="V20" i="4"/>
  <c r="AA53" i="4"/>
  <c r="AA52" i="4"/>
  <c r="R51" i="4"/>
  <c r="Z51" i="4"/>
  <c r="V51" i="4"/>
  <c r="N51" i="4"/>
  <c r="J51" i="4"/>
  <c r="X50" i="4"/>
  <c r="Z50" i="4"/>
  <c r="X49" i="4"/>
  <c r="Z49" i="4"/>
  <c r="T50" i="4"/>
  <c r="V50" i="4"/>
  <c r="T49" i="4"/>
  <c r="V49" i="4"/>
  <c r="P50" i="4"/>
  <c r="R50" i="4"/>
  <c r="P49" i="4"/>
  <c r="R49" i="4"/>
  <c r="L50" i="4"/>
  <c r="N50" i="4"/>
  <c r="L49" i="4"/>
  <c r="N49" i="4"/>
  <c r="H50" i="4"/>
  <c r="J50" i="4"/>
  <c r="H49" i="4"/>
  <c r="J49" i="4"/>
  <c r="X48" i="4"/>
  <c r="Z48" i="4"/>
  <c r="T48" i="4"/>
  <c r="V48" i="4"/>
  <c r="P48" i="4"/>
  <c r="R48" i="4"/>
  <c r="L48" i="4"/>
  <c r="N48" i="4"/>
  <c r="AA50" i="4"/>
  <c r="AA49" i="4"/>
  <c r="AA48" i="4"/>
  <c r="AA51" i="4"/>
  <c r="X47" i="4"/>
  <c r="X46" i="4"/>
  <c r="T47" i="4"/>
  <c r="T46" i="4"/>
  <c r="P47" i="4"/>
  <c r="P46" i="4"/>
  <c r="L47" i="4"/>
  <c r="H47" i="4"/>
  <c r="AA45" i="4"/>
  <c r="X44" i="4"/>
  <c r="Z44" i="4"/>
  <c r="T44" i="4"/>
  <c r="V44" i="4"/>
  <c r="P44" i="4"/>
  <c r="R44" i="4"/>
  <c r="L44" i="4"/>
  <c r="N44" i="4"/>
  <c r="H44" i="4"/>
  <c r="T6" i="4"/>
  <c r="P6" i="4"/>
  <c r="R6" i="4"/>
  <c r="R19" i="4"/>
  <c r="R20" i="4"/>
  <c r="L6" i="4"/>
  <c r="N6" i="4"/>
  <c r="N19" i="4"/>
  <c r="N20" i="4"/>
  <c r="H6" i="4"/>
  <c r="J6" i="4"/>
  <c r="J19" i="4"/>
  <c r="J20" i="4"/>
  <c r="G10" i="3"/>
  <c r="Q10" i="3"/>
  <c r="H22" i="3"/>
  <c r="V9" i="3"/>
  <c r="G13" i="2"/>
  <c r="Q9" i="3"/>
  <c r="L9" i="3"/>
  <c r="G9" i="3"/>
  <c r="H21" i="3"/>
  <c r="V8" i="3"/>
  <c r="G8" i="2"/>
  <c r="Q8" i="3"/>
  <c r="L8" i="3"/>
  <c r="G8" i="3"/>
  <c r="H20" i="3"/>
  <c r="V7" i="3"/>
  <c r="Q7" i="3"/>
  <c r="L7" i="3"/>
  <c r="G7" i="3"/>
  <c r="U8" i="2"/>
  <c r="J57" i="4"/>
  <c r="J58" i="4"/>
  <c r="AA20" i="4"/>
  <c r="N57" i="4"/>
  <c r="N58" i="4"/>
  <c r="AA19" i="4"/>
  <c r="Z46" i="4"/>
  <c r="Z57" i="4"/>
  <c r="Z58" i="4"/>
  <c r="R46" i="4"/>
  <c r="R57" i="4"/>
  <c r="R58" i="4"/>
  <c r="AA6" i="4"/>
  <c r="V46" i="4"/>
  <c r="V57" i="4"/>
  <c r="V58" i="4"/>
  <c r="AA44" i="4"/>
  <c r="V14" i="2"/>
  <c r="X14" i="2"/>
  <c r="Q14" i="2"/>
  <c r="S14" i="2"/>
  <c r="L14" i="2"/>
  <c r="V13" i="2"/>
  <c r="X13" i="2"/>
  <c r="Q13" i="2"/>
  <c r="S13" i="2"/>
  <c r="L13" i="2"/>
  <c r="T6" i="1"/>
  <c r="T7" i="1"/>
  <c r="T8" i="1"/>
  <c r="T9" i="1"/>
  <c r="T13" i="1"/>
  <c r="T14" i="1"/>
  <c r="T15" i="1"/>
  <c r="T16" i="1"/>
  <c r="W8" i="2"/>
  <c r="K8" i="2"/>
  <c r="U7" i="2"/>
  <c r="W7" i="2"/>
  <c r="P7" i="2"/>
  <c r="R7" i="2"/>
  <c r="AA47" i="4"/>
  <c r="AA57" i="4"/>
  <c r="K7" i="2"/>
  <c r="G7" i="2"/>
  <c r="X16" i="1"/>
  <c r="V16" i="1"/>
  <c r="P16" i="1"/>
  <c r="R16" i="1"/>
  <c r="N16" i="1"/>
  <c r="H16" i="1"/>
  <c r="X15" i="1"/>
  <c r="V15" i="1"/>
  <c r="P15" i="1"/>
  <c r="R15" i="1"/>
  <c r="L15" i="1"/>
  <c r="H15" i="1"/>
  <c r="X14" i="1"/>
  <c r="V14" i="1"/>
  <c r="P14" i="1"/>
  <c r="L14" i="1"/>
  <c r="P8" i="1"/>
  <c r="P9" i="1"/>
  <c r="H14" i="1"/>
  <c r="X13" i="1"/>
  <c r="V13" i="1"/>
  <c r="P13" i="1"/>
  <c r="L13" i="1"/>
  <c r="H13" i="1"/>
  <c r="X9" i="1"/>
  <c r="L9" i="1"/>
  <c r="H9" i="1"/>
  <c r="X8" i="1"/>
  <c r="L8" i="1"/>
  <c r="H8" i="1"/>
  <c r="X7" i="1"/>
  <c r="P7" i="1"/>
  <c r="O7" i="1"/>
  <c r="L7" i="1"/>
  <c r="H7" i="1"/>
  <c r="X6" i="1"/>
  <c r="P6" i="1"/>
  <c r="L6" i="1"/>
  <c r="H6" i="1"/>
  <c r="J29" i="42" l="1"/>
  <c r="K93" i="42"/>
  <c r="K107" i="42" s="1"/>
  <c r="N129" i="45"/>
  <c r="L199" i="45"/>
  <c r="M223" i="45"/>
  <c r="O154" i="45"/>
  <c r="M152" i="45"/>
  <c r="Q178" i="45"/>
  <c r="K199" i="45"/>
  <c r="K212" i="45" s="1"/>
  <c r="L78" i="45"/>
  <c r="L164" i="45"/>
  <c r="V22" i="45"/>
  <c r="M78" i="45"/>
  <c r="O126" i="45"/>
  <c r="L124" i="45"/>
  <c r="O243" i="45"/>
  <c r="O114" i="45"/>
  <c r="M171" i="45"/>
  <c r="Q171" i="45" s="1"/>
  <c r="O231" i="45"/>
  <c r="K223" i="45"/>
  <c r="K235" i="45" s="1"/>
  <c r="AA6" i="45"/>
  <c r="M199" i="45"/>
  <c r="M211" i="45" s="1"/>
  <c r="O66" i="45"/>
  <c r="M83" i="45"/>
  <c r="M95" i="45" s="1"/>
  <c r="M106" i="45"/>
  <c r="M118" i="45" s="1"/>
  <c r="M119" i="45" s="1"/>
  <c r="O196" i="45"/>
  <c r="L129" i="45"/>
  <c r="AA5" i="45"/>
  <c r="O29" i="45"/>
  <c r="O82" i="45"/>
  <c r="N124" i="45"/>
  <c r="N141" i="45" s="1"/>
  <c r="J199" i="45"/>
  <c r="J212" i="45" s="1"/>
  <c r="Q175" i="45"/>
  <c r="M235" i="45"/>
  <c r="M236" i="45" s="1"/>
  <c r="M141" i="45"/>
  <c r="L83" i="45"/>
  <c r="K129" i="45"/>
  <c r="L212" i="45"/>
  <c r="L211" i="45"/>
  <c r="O194" i="45"/>
  <c r="K58" i="45"/>
  <c r="K70" i="45" s="1"/>
  <c r="K71" i="45" s="1"/>
  <c r="O207" i="45"/>
  <c r="N22" i="45"/>
  <c r="N152" i="45"/>
  <c r="N164" i="45" s="1"/>
  <c r="O160" i="45"/>
  <c r="L63" i="45"/>
  <c r="Q186" i="45"/>
  <c r="M147" i="45"/>
  <c r="M164" i="45" s="1"/>
  <c r="K152" i="45"/>
  <c r="K164" i="45" s="1"/>
  <c r="O162" i="45"/>
  <c r="L223" i="45"/>
  <c r="L235" i="45" s="1"/>
  <c r="M176" i="45"/>
  <c r="O91" i="45"/>
  <c r="K106" i="45"/>
  <c r="K118" i="45" s="1"/>
  <c r="K119" i="45" s="1"/>
  <c r="O137" i="45"/>
  <c r="O55" i="45"/>
  <c r="K124" i="45"/>
  <c r="O128" i="45"/>
  <c r="O30" i="45"/>
  <c r="O41" i="45"/>
  <c r="O80" i="45"/>
  <c r="J152" i="45"/>
  <c r="K211" i="45"/>
  <c r="K188" i="45"/>
  <c r="K33" i="45"/>
  <c r="K45" i="45" s="1"/>
  <c r="K46" i="45" s="1"/>
  <c r="J87" i="49"/>
  <c r="M87" i="49" s="1"/>
  <c r="J108" i="49"/>
  <c r="M108" i="49" s="1"/>
  <c r="M151" i="49"/>
  <c r="J64" i="49"/>
  <c r="M64" i="49" s="1"/>
  <c r="N21" i="49"/>
  <c r="N22" i="49"/>
  <c r="J21" i="49"/>
  <c r="J22" i="49"/>
  <c r="J73" i="42"/>
  <c r="K29" i="42"/>
  <c r="M30" i="42"/>
  <c r="K33" i="51"/>
  <c r="K32" i="51" s="1"/>
  <c r="K42" i="51" s="1"/>
  <c r="K43" i="51" s="1"/>
  <c r="L33" i="51"/>
  <c r="L32" i="51" s="1"/>
  <c r="L42" i="51" s="1"/>
  <c r="L43" i="51" s="1"/>
  <c r="L10" i="51"/>
  <c r="L20" i="51" s="1"/>
  <c r="L21" i="51" s="1"/>
  <c r="K10" i="51"/>
  <c r="K20" i="51" s="1"/>
  <c r="K21" i="51" s="1"/>
  <c r="O49" i="39"/>
  <c r="O47" i="39"/>
  <c r="O38" i="39"/>
  <c r="O27" i="39"/>
  <c r="J25" i="39"/>
  <c r="O25" i="39" s="1"/>
  <c r="AA18" i="39"/>
  <c r="X10" i="39"/>
  <c r="N56" i="39"/>
  <c r="X11" i="39"/>
  <c r="N33" i="39"/>
  <c r="N32" i="39" s="1"/>
  <c r="N57" i="39"/>
  <c r="N34" i="39"/>
  <c r="N35" i="39"/>
  <c r="Z19" i="39"/>
  <c r="X9" i="39"/>
  <c r="M35" i="39"/>
  <c r="M56" i="39"/>
  <c r="M52" i="39"/>
  <c r="M64" i="39" s="1"/>
  <c r="M65" i="39" s="1"/>
  <c r="T5" i="39"/>
  <c r="T9" i="39"/>
  <c r="M57" i="39"/>
  <c r="T10" i="39"/>
  <c r="T7" i="39"/>
  <c r="T11" i="39"/>
  <c r="V19" i="39"/>
  <c r="M33" i="39"/>
  <c r="M32" i="39" s="1"/>
  <c r="O35" i="39"/>
  <c r="M34" i="39"/>
  <c r="P5" i="39"/>
  <c r="R19" i="39"/>
  <c r="P11" i="39"/>
  <c r="L55" i="39"/>
  <c r="L56" i="39"/>
  <c r="L33" i="39"/>
  <c r="P7" i="39"/>
  <c r="P8" i="39"/>
  <c r="L34" i="39"/>
  <c r="P9" i="39"/>
  <c r="L31" i="39"/>
  <c r="L5" i="39"/>
  <c r="N19" i="39"/>
  <c r="L11" i="39"/>
  <c r="K55" i="39"/>
  <c r="O55" i="39" s="1"/>
  <c r="K56" i="39"/>
  <c r="L9" i="39"/>
  <c r="L7" i="39"/>
  <c r="K57" i="39"/>
  <c r="K33" i="39"/>
  <c r="K34" i="39"/>
  <c r="L10" i="39"/>
  <c r="H10" i="39"/>
  <c r="J34" i="39"/>
  <c r="J56" i="39"/>
  <c r="J57" i="39"/>
  <c r="H5" i="39"/>
  <c r="H7" i="39"/>
  <c r="H11" i="39"/>
  <c r="H9" i="39"/>
  <c r="J33" i="39"/>
  <c r="O218" i="45"/>
  <c r="P188" i="45"/>
  <c r="N188" i="45"/>
  <c r="L188" i="45"/>
  <c r="J188" i="45"/>
  <c r="O103" i="45"/>
  <c r="O101" i="45" s="1"/>
  <c r="K78" i="45"/>
  <c r="O53" i="45"/>
  <c r="O28" i="45"/>
  <c r="N61" i="45"/>
  <c r="Z22" i="45"/>
  <c r="N228" i="45"/>
  <c r="X10" i="45"/>
  <c r="N87" i="45"/>
  <c r="N227" i="45"/>
  <c r="N204" i="45"/>
  <c r="O204" i="45" s="1"/>
  <c r="N37" i="45"/>
  <c r="X9" i="45"/>
  <c r="N88" i="45"/>
  <c r="X5" i="45"/>
  <c r="N226" i="45"/>
  <c r="N203" i="45"/>
  <c r="O203" i="45" s="1"/>
  <c r="N111" i="45"/>
  <c r="N36" i="45"/>
  <c r="X8" i="45"/>
  <c r="N86" i="45"/>
  <c r="N109" i="45"/>
  <c r="N202" i="45"/>
  <c r="N110" i="45"/>
  <c r="N63" i="45"/>
  <c r="X6" i="45"/>
  <c r="N62" i="45"/>
  <c r="M62" i="45"/>
  <c r="M37" i="45"/>
  <c r="T10" i="45"/>
  <c r="M61" i="45"/>
  <c r="M36" i="45"/>
  <c r="T8" i="45"/>
  <c r="T6" i="45"/>
  <c r="T5" i="45"/>
  <c r="M63" i="45"/>
  <c r="T11" i="45"/>
  <c r="P5" i="45"/>
  <c r="P6" i="45"/>
  <c r="L36" i="45"/>
  <c r="P9" i="45"/>
  <c r="L109" i="45"/>
  <c r="L37" i="45"/>
  <c r="P10" i="45"/>
  <c r="L61" i="45"/>
  <c r="L110" i="45"/>
  <c r="L38" i="45"/>
  <c r="P11" i="45"/>
  <c r="L62" i="45"/>
  <c r="L111" i="45"/>
  <c r="L5" i="45"/>
  <c r="L6" i="45"/>
  <c r="L9" i="45"/>
  <c r="L10" i="45"/>
  <c r="J37" i="45"/>
  <c r="J226" i="45"/>
  <c r="J109" i="45"/>
  <c r="J86" i="45"/>
  <c r="J63" i="45"/>
  <c r="J253" i="45"/>
  <c r="O253" i="45" s="1"/>
  <c r="J36" i="45"/>
  <c r="J62" i="45"/>
  <c r="J252" i="45"/>
  <c r="O252" i="45" s="1"/>
  <c r="H10" i="45"/>
  <c r="H11" i="45"/>
  <c r="J22" i="45"/>
  <c r="J61" i="45"/>
  <c r="J251" i="45"/>
  <c r="H9" i="45"/>
  <c r="J110" i="45"/>
  <c r="J134" i="45"/>
  <c r="O134" i="45" s="1"/>
  <c r="H8" i="45"/>
  <c r="J132" i="45"/>
  <c r="J87" i="45"/>
  <c r="J228" i="45"/>
  <c r="J133" i="45"/>
  <c r="O133" i="45" s="1"/>
  <c r="J111" i="45"/>
  <c r="J88" i="45"/>
  <c r="H6" i="45"/>
  <c r="J38" i="45"/>
  <c r="J227" i="45"/>
  <c r="H5" i="45"/>
  <c r="J55" i="51"/>
  <c r="J247" i="51"/>
  <c r="J70" i="51"/>
  <c r="J326" i="51"/>
  <c r="J332" i="51"/>
  <c r="J283" i="51"/>
  <c r="J117" i="51"/>
  <c r="J12" i="51"/>
  <c r="J34" i="51"/>
  <c r="J74" i="51"/>
  <c r="J262" i="51"/>
  <c r="J311" i="51"/>
  <c r="J203" i="51"/>
  <c r="J140" i="51"/>
  <c r="J348" i="51"/>
  <c r="J354" i="51"/>
  <c r="J113" i="51"/>
  <c r="J28" i="51"/>
  <c r="J205" i="51"/>
  <c r="J226" i="51"/>
  <c r="J268" i="51"/>
  <c r="J289" i="51"/>
  <c r="J330" i="51"/>
  <c r="J340" i="51" s="1"/>
  <c r="J341" i="51" s="1"/>
  <c r="J287" i="51"/>
  <c r="J297" i="51" s="1"/>
  <c r="J298" i="51" s="1"/>
  <c r="J160" i="51"/>
  <c r="J10" i="51"/>
  <c r="J20" i="51" s="1"/>
  <c r="J21" i="51" s="1"/>
  <c r="J32" i="51"/>
  <c r="J309" i="51"/>
  <c r="J134" i="51"/>
  <c r="J156" i="51"/>
  <c r="J199" i="51"/>
  <c r="J220" i="51"/>
  <c r="J241" i="51"/>
  <c r="J305" i="51"/>
  <c r="O188" i="45"/>
  <c r="M193" i="49"/>
  <c r="J184" i="49"/>
  <c r="M184" i="49" s="1"/>
  <c r="M186" i="49"/>
  <c r="J120" i="49"/>
  <c r="J130" i="49" s="1"/>
  <c r="J131" i="49" s="1"/>
  <c r="M101" i="49"/>
  <c r="M57" i="49"/>
  <c r="M42" i="49"/>
  <c r="M35" i="49"/>
  <c r="K33" i="49"/>
  <c r="K29" i="49"/>
  <c r="M35" i="42"/>
  <c r="L33" i="42"/>
  <c r="L29" i="42"/>
  <c r="L43" i="42"/>
  <c r="L44" i="42" s="1"/>
  <c r="M34" i="42"/>
  <c r="K33" i="42"/>
  <c r="K43" i="42" s="1"/>
  <c r="K44" i="42" s="1"/>
  <c r="M42" i="42"/>
  <c r="M41" i="42"/>
  <c r="Q27" i="42"/>
  <c r="M24" i="42"/>
  <c r="J33" i="42"/>
  <c r="J107" i="42"/>
  <c r="I24" i="42"/>
  <c r="I22" i="42"/>
  <c r="M29" i="42"/>
  <c r="J77" i="42"/>
  <c r="J55" i="42"/>
  <c r="J65" i="42" s="1"/>
  <c r="J66" i="42" s="1"/>
  <c r="U24" i="42"/>
  <c r="U19" i="42"/>
  <c r="J87" i="42" l="1"/>
  <c r="J88" i="42" s="1"/>
  <c r="O93" i="42"/>
  <c r="O107" i="42" s="1"/>
  <c r="O124" i="45"/>
  <c r="M212" i="45"/>
  <c r="AA21" i="45"/>
  <c r="O152" i="45"/>
  <c r="L95" i="45"/>
  <c r="L141" i="45"/>
  <c r="M188" i="45"/>
  <c r="K236" i="45"/>
  <c r="Q176" i="45"/>
  <c r="Q188" i="45" s="1"/>
  <c r="O147" i="45"/>
  <c r="M35" i="45"/>
  <c r="M44" i="45" s="1"/>
  <c r="M43" i="45" s="1"/>
  <c r="M33" i="45" s="1"/>
  <c r="M45" i="45" s="1"/>
  <c r="K141" i="45"/>
  <c r="M60" i="45"/>
  <c r="M69" i="45" s="1"/>
  <c r="M68" i="45" s="1"/>
  <c r="M58" i="45" s="1"/>
  <c r="M70" i="45" s="1"/>
  <c r="M71" i="45" s="1"/>
  <c r="J164" i="45"/>
  <c r="O228" i="45"/>
  <c r="L60" i="45"/>
  <c r="L69" i="45" s="1"/>
  <c r="L68" i="45" s="1"/>
  <c r="L58" i="45" s="1"/>
  <c r="L70" i="45" s="1"/>
  <c r="L71" i="45" s="1"/>
  <c r="N85" i="45"/>
  <c r="N83" i="45" s="1"/>
  <c r="N95" i="45" s="1"/>
  <c r="M130" i="49"/>
  <c r="J78" i="49"/>
  <c r="M78" i="49" s="1"/>
  <c r="J99" i="49"/>
  <c r="J109" i="49" s="1"/>
  <c r="J110" i="49" s="1"/>
  <c r="J55" i="49"/>
  <c r="J65" i="49" s="1"/>
  <c r="J361" i="51"/>
  <c r="J352" i="51" s="1"/>
  <c r="J362" i="51" s="1"/>
  <c r="J363" i="51" s="1"/>
  <c r="J127" i="51"/>
  <c r="J128" i="51" s="1"/>
  <c r="J84" i="51"/>
  <c r="J85" i="51" s="1"/>
  <c r="N54" i="39"/>
  <c r="N62" i="39"/>
  <c r="N52" i="39" s="1"/>
  <c r="N64" i="39" s="1"/>
  <c r="N65" i="39" s="1"/>
  <c r="N40" i="39"/>
  <c r="N30" i="39"/>
  <c r="N42" i="39" s="1"/>
  <c r="M40" i="39"/>
  <c r="M30" i="39" s="1"/>
  <c r="M42" i="39" s="1"/>
  <c r="O57" i="39"/>
  <c r="O31" i="39"/>
  <c r="O53" i="39"/>
  <c r="L54" i="39"/>
  <c r="L62" i="39" s="1"/>
  <c r="L32" i="39"/>
  <c r="L40" i="39" s="1"/>
  <c r="K54" i="39"/>
  <c r="O56" i="39"/>
  <c r="K32" i="39"/>
  <c r="O34" i="39"/>
  <c r="J32" i="39"/>
  <c r="O33" i="39"/>
  <c r="J54" i="39"/>
  <c r="O78" i="45"/>
  <c r="K95" i="45"/>
  <c r="O88" i="45"/>
  <c r="O87" i="45"/>
  <c r="N225" i="45"/>
  <c r="N60" i="45"/>
  <c r="O37" i="45"/>
  <c r="N201" i="45"/>
  <c r="N210" i="45" s="1"/>
  <c r="O202" i="45"/>
  <c r="N108" i="45"/>
  <c r="N117" i="45" s="1"/>
  <c r="O227" i="45"/>
  <c r="N35" i="45"/>
  <c r="N44" i="45" s="1"/>
  <c r="O63" i="45"/>
  <c r="O110" i="45"/>
  <c r="L108" i="45"/>
  <c r="L117" i="45" s="1"/>
  <c r="O38" i="45"/>
  <c r="O62" i="45"/>
  <c r="L35" i="45"/>
  <c r="L44" i="45" s="1"/>
  <c r="O111" i="45"/>
  <c r="J108" i="45"/>
  <c r="J117" i="45" s="1"/>
  <c r="O109" i="45"/>
  <c r="O251" i="45"/>
  <c r="J250" i="45"/>
  <c r="J259" i="45" s="1"/>
  <c r="O226" i="45"/>
  <c r="J225" i="45"/>
  <c r="J234" i="45" s="1"/>
  <c r="O132" i="45"/>
  <c r="J131" i="45"/>
  <c r="J140" i="45" s="1"/>
  <c r="O61" i="45"/>
  <c r="J60" i="45"/>
  <c r="J69" i="45" s="1"/>
  <c r="J85" i="45"/>
  <c r="J94" i="45" s="1"/>
  <c r="O86" i="45"/>
  <c r="J35" i="45"/>
  <c r="J44" i="45" s="1"/>
  <c r="O36" i="45"/>
  <c r="J42" i="51"/>
  <c r="J43" i="51" s="1"/>
  <c r="J138" i="51"/>
  <c r="J148" i="51" s="1"/>
  <c r="J245" i="51"/>
  <c r="J255" i="51" s="1"/>
  <c r="J256" i="51" s="1"/>
  <c r="J266" i="51"/>
  <c r="J276" i="51" s="1"/>
  <c r="J277" i="51" s="1"/>
  <c r="J213" i="51"/>
  <c r="J214" i="51" s="1"/>
  <c r="J224" i="51"/>
  <c r="J234" i="51" s="1"/>
  <c r="J235" i="51" s="1"/>
  <c r="J170" i="51"/>
  <c r="J171" i="51" s="1"/>
  <c r="J319" i="51"/>
  <c r="J320" i="51" s="1"/>
  <c r="J194" i="49"/>
  <c r="J195" i="49" s="1"/>
  <c r="M120" i="49"/>
  <c r="M99" i="49"/>
  <c r="M55" i="49"/>
  <c r="K43" i="49"/>
  <c r="M33" i="42"/>
  <c r="J43" i="42"/>
  <c r="J44" i="42" s="1"/>
  <c r="O164" i="45" l="1"/>
  <c r="K261" i="45"/>
  <c r="N69" i="45"/>
  <c r="N68" i="45" s="1"/>
  <c r="N58" i="45" s="1"/>
  <c r="N70" i="45" s="1"/>
  <c r="N71" i="45" s="1"/>
  <c r="N234" i="45"/>
  <c r="N233" i="45" s="1"/>
  <c r="N223" i="45" s="1"/>
  <c r="N235" i="45" s="1"/>
  <c r="N236" i="45" s="1"/>
  <c r="J88" i="49"/>
  <c r="M88" i="49" s="1"/>
  <c r="M109" i="49"/>
  <c r="M65" i="49"/>
  <c r="J66" i="49"/>
  <c r="M43" i="42"/>
  <c r="J149" i="51"/>
  <c r="J152" i="51"/>
  <c r="N43" i="39"/>
  <c r="N66" i="39"/>
  <c r="M43" i="39"/>
  <c r="M66" i="39"/>
  <c r="L52" i="39"/>
  <c r="L64" i="39" s="1"/>
  <c r="L65" i="39" s="1"/>
  <c r="L30" i="39"/>
  <c r="L42" i="39" s="1"/>
  <c r="K40" i="39"/>
  <c r="K30" i="39" s="1"/>
  <c r="K42" i="39" s="1"/>
  <c r="K62" i="39"/>
  <c r="K52" i="39"/>
  <c r="K64" i="39" s="1"/>
  <c r="K65" i="39" s="1"/>
  <c r="O54" i="39"/>
  <c r="O32" i="39"/>
  <c r="O201" i="45"/>
  <c r="N43" i="45"/>
  <c r="N33" i="45" s="1"/>
  <c r="N45" i="45" s="1"/>
  <c r="N116" i="45"/>
  <c r="N106" i="45" s="1"/>
  <c r="N118" i="45" s="1"/>
  <c r="N119" i="45" s="1"/>
  <c r="M46" i="45"/>
  <c r="M261" i="45"/>
  <c r="L43" i="45"/>
  <c r="L33" i="45" s="1"/>
  <c r="L45" i="45" s="1"/>
  <c r="L116" i="45"/>
  <c r="L106" i="45" s="1"/>
  <c r="L118" i="45" s="1"/>
  <c r="L119" i="45" s="1"/>
  <c r="O35" i="45"/>
  <c r="O108" i="45"/>
  <c r="O225" i="45"/>
  <c r="O85" i="45"/>
  <c r="O60" i="45"/>
  <c r="O250" i="45"/>
  <c r="O131" i="45"/>
  <c r="M194" i="49"/>
  <c r="K44" i="49"/>
  <c r="K197" i="49"/>
  <c r="J89" i="49" l="1"/>
  <c r="L66" i="39"/>
  <c r="K66" i="39"/>
  <c r="K43" i="39"/>
  <c r="O41" i="39"/>
  <c r="J40" i="39"/>
  <c r="J62" i="39"/>
  <c r="O63" i="39"/>
  <c r="N46" i="45"/>
  <c r="O210" i="45"/>
  <c r="N209" i="45"/>
  <c r="L46" i="45"/>
  <c r="L261" i="45"/>
  <c r="J258" i="45"/>
  <c r="O259" i="45"/>
  <c r="J93" i="45"/>
  <c r="O94" i="45"/>
  <c r="O140" i="45"/>
  <c r="J139" i="45"/>
  <c r="O117" i="45"/>
  <c r="J116" i="45"/>
  <c r="O69" i="45"/>
  <c r="J68" i="45"/>
  <c r="J233" i="45"/>
  <c r="O234" i="45"/>
  <c r="O44" i="45"/>
  <c r="J43" i="45"/>
  <c r="O40" i="39" l="1"/>
  <c r="J30" i="39"/>
  <c r="O62" i="39"/>
  <c r="J52" i="39"/>
  <c r="O209" i="45"/>
  <c r="N199" i="45"/>
  <c r="O258" i="45"/>
  <c r="J248" i="45"/>
  <c r="J260" i="45" s="1"/>
  <c r="O233" i="45"/>
  <c r="J223" i="45"/>
  <c r="O139" i="45"/>
  <c r="J129" i="45"/>
  <c r="O68" i="45"/>
  <c r="J58" i="45"/>
  <c r="O43" i="45"/>
  <c r="J33" i="45"/>
  <c r="O116" i="45"/>
  <c r="J106" i="45"/>
  <c r="O93" i="45"/>
  <c r="O83" i="45" s="1"/>
  <c r="O95" i="45" s="1"/>
  <c r="J83" i="45"/>
  <c r="J95" i="45" s="1"/>
  <c r="J178" i="51"/>
  <c r="J182" i="51"/>
  <c r="J192" i="51" l="1"/>
  <c r="J193" i="51" s="1"/>
  <c r="O30" i="39"/>
  <c r="J42" i="39"/>
  <c r="O52" i="39"/>
  <c r="J64" i="39"/>
  <c r="N211" i="45"/>
  <c r="O199" i="45"/>
  <c r="O223" i="45"/>
  <c r="J235" i="45"/>
  <c r="O129" i="45"/>
  <c r="O141" i="45" s="1"/>
  <c r="J141" i="45"/>
  <c r="J142" i="45" s="1"/>
  <c r="O33" i="45"/>
  <c r="O45" i="45" s="1"/>
  <c r="J45" i="45"/>
  <c r="O248" i="45"/>
  <c r="O260" i="45" s="1"/>
  <c r="O106" i="45"/>
  <c r="O118" i="45" s="1"/>
  <c r="J118" i="45"/>
  <c r="J119" i="45" s="1"/>
  <c r="J70" i="45"/>
  <c r="J71" i="45" s="1"/>
  <c r="O58" i="45"/>
  <c r="O70" i="45" s="1"/>
  <c r="O64" i="39" l="1"/>
  <c r="J65" i="39"/>
  <c r="J43" i="39"/>
  <c r="J66" i="39"/>
  <c r="O42" i="39"/>
  <c r="O212" i="45"/>
  <c r="O211" i="45"/>
  <c r="N212" i="45"/>
  <c r="N261" i="45"/>
  <c r="J261" i="45"/>
  <c r="J46" i="45"/>
  <c r="O235" i="45"/>
  <c r="J236" i="45"/>
  <c r="O66" i="39" l="1"/>
  <c r="O261" i="45"/>
  <c r="J49" i="51"/>
  <c r="J53" i="51"/>
  <c r="J63" i="51" l="1"/>
  <c r="J92" i="51"/>
  <c r="J96" i="51"/>
  <c r="J64" i="51" l="1"/>
  <c r="J491" i="51"/>
  <c r="J106" i="51"/>
  <c r="J107" i="51" s="1"/>
  <c r="M34" i="49"/>
  <c r="M30" i="49"/>
  <c r="J33" i="49"/>
  <c r="M33" i="49" s="1"/>
  <c r="J29" i="49"/>
  <c r="J43" i="49" l="1"/>
  <c r="M29" i="49"/>
  <c r="M43" i="49" l="1"/>
  <c r="J44" i="4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</authors>
  <commentList>
    <comment ref="O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 учетом д/с 92 чел.</t>
        </r>
      </text>
    </comment>
    <comment ref="Q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подогрев воды,полов в летний период, специфическая работа уч-ния, работа комп., орг.техники, в/камер </t>
        </r>
      </text>
    </comment>
    <comment ref="P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894 м3 вода по Д/с 7</t>
        </r>
      </text>
    </comment>
    <comment ref="P9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894 м3 вода по Д/с 7</t>
        </r>
      </text>
    </comment>
    <comment ref="P13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В д/с 7 и гимназии установлен один счетчик, кол-во потребления тепла общее</t>
        </r>
      </text>
    </comment>
    <comment ref="Y13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теплые полы в группах</t>
        </r>
      </text>
    </comment>
    <comment ref="R14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счета по э/э оплачивает гимназия,д/с оплачивает уличное освещение</t>
        </r>
      </text>
    </comment>
    <comment ref="Z14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факт 3х лет,экономия</t>
        </r>
      </text>
    </comment>
    <comment ref="I15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повышение за счет стирки</t>
        </r>
      </text>
    </comment>
    <comment ref="R15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оплачивает гимназия</t>
        </r>
      </text>
    </comment>
    <comment ref="I16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повышение за счет стирки</t>
        </r>
      </text>
    </comment>
    <comment ref="M16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откачка спец.машиной, за счет попадания сточных вод </t>
        </r>
      </text>
    </comment>
    <comment ref="I33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подогрев полов</t>
        </r>
      </text>
    </comment>
    <comment ref="P33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В д/с 7 и гимназии установлен один счетчик, кол-во потребления тепла общее</t>
        </r>
      </text>
    </comment>
    <comment ref="Q33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уменьшение за счет использования совместных площадей (кухня,зал проведения мероприятий, подсобных помещений)с гимназией </t>
        </r>
      </text>
    </comment>
    <comment ref="U33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подогрев полов</t>
        </r>
      </text>
    </comment>
    <comment ref="Y33" authorId="0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теплые полы в группах</t>
        </r>
      </text>
    </comment>
    <comment ref="I34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за счет увел. Подсобных помещений осн.пл.-1884,7м2;вспом.пл.-1453,9м2</t>
        </r>
      </text>
    </comment>
    <comment ref="M34" authorId="0" shapeId="0" xr:uid="{00000000-0006-0000-0000-000013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работа калориферов, подогрев воды бойлерами, освещение уличное.</t>
        </r>
      </text>
    </comment>
    <comment ref="R34" authorId="0" shapeId="0" xr:uid="{00000000-0006-0000-0000-000014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счета по э/э оплачивает гимназия,д/с оплачивает уличное освещение</t>
        </r>
      </text>
    </comment>
    <comment ref="U34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увелич.вспомогательной площ.</t>
        </r>
      </text>
    </comment>
    <comment ref="Z34" authorId="0" shapeId="0" xr:uid="{00000000-0006-0000-0000-000016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факт 3х лет,экономия</t>
        </r>
      </text>
    </comment>
    <comment ref="I35" authorId="0" shapeId="0" xr:uid="{00000000-0006-0000-0000-000017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повышение за счет стирки</t>
        </r>
      </text>
    </comment>
    <comment ref="R35" authorId="0" shapeId="0" xr:uid="{00000000-0006-0000-0000-000018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оплачивает гимназия</t>
        </r>
      </text>
    </comment>
    <comment ref="U35" authorId="0" shapeId="0" xr:uid="{00000000-0006-0000-0000-000019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стирка белья-платные услуги</t>
        </r>
      </text>
    </comment>
    <comment ref="V35" authorId="0" shapeId="0" xr:uid="{00000000-0006-0000-0000-00001A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факт.потребление-, счета выставлены с учетом переплаты в 2016 году</t>
        </r>
      </text>
    </comment>
    <comment ref="I36" authorId="0" shapeId="0" xr:uid="{00000000-0006-0000-0000-00001B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повышение за счет стирки</t>
        </r>
      </text>
    </comment>
    <comment ref="M36" authorId="0" shapeId="0" xr:uid="{00000000-0006-0000-0000-00001C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откачка спец.машиной, за счет попадания сточных вод </t>
        </r>
      </text>
    </comment>
    <comment ref="I41" authorId="0" shapeId="0" xr:uid="{00000000-0006-0000-0000-00001D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- за счет з/классов</t>
        </r>
      </text>
    </comment>
    <comment ref="M41" authorId="0" shapeId="0" xr:uid="{00000000-0006-0000-0000-00001E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к на старое здание постройки
</t>
        </r>
      </text>
    </comment>
    <comment ref="I42" authorId="0" shapeId="0" xr:uid="{00000000-0006-0000-0000-00001F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светодиодные лампы</t>
        </r>
      </text>
    </comment>
    <comment ref="M42" authorId="0" shapeId="0" xr:uid="{00000000-0006-0000-0000-000020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э/сбер.лампы</t>
        </r>
      </text>
    </comment>
    <comment ref="Q42" authorId="0" shapeId="0" xr:uid="{00000000-0006-0000-0000-000021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подогрев воды,полов в летний период, специфическая работа уч-ния, работа комп., орг.техники, в/камер </t>
        </r>
      </text>
    </comment>
    <comment ref="H43" authorId="0" shapeId="0" xr:uid="{00000000-0006-0000-0000-000022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шк.758*2,2*0,75
з/к29*2,2*0,3
д/с87*8</t>
        </r>
      </text>
    </comment>
    <comment ref="I43" authorId="0" shapeId="0" xr:uid="{00000000-0006-0000-0000-000023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- стирка белья</t>
        </r>
      </text>
    </comment>
    <comment ref="P43" authorId="0" shapeId="0" xr:uid="{00000000-0006-0000-0000-000024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894 м3 вода по Д/с 7</t>
        </r>
      </text>
    </comment>
    <comment ref="P44" authorId="0" shapeId="0" xr:uid="{00000000-0006-0000-0000-000025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894 м3 вода по Д/с 7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  <author>Татьяна П. Мельникова</author>
  </authors>
  <commentList>
    <comment ref="G5" authorId="0" shapeId="0" xr:uid="{51D3A0B1-AE94-4540-88DF-1B7AD88B2B04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начальное: </t>
        </r>
      </text>
    </comment>
    <comment ref="K5" authorId="1" shapeId="0" xr:uid="{2F966FDD-F773-4859-9C9F-7CB78DBB291E}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начальное</t>
        </r>
      </text>
    </comment>
    <comment ref="Q5" authorId="0" shapeId="0" xr:uid="{054F00AD-0181-4A76-9AA6-F9D49A1F4AAD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к увеличивается в связи с проездом педагогов с детьми</t>
        </r>
      </text>
    </comment>
    <comment ref="U5" authorId="0" shapeId="0" xr:uid="{8747802A-5443-444D-ACA4-346544BA9C71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малокомплектная школа</t>
        </r>
      </text>
    </comment>
    <comment ref="Y5" authorId="0" shapeId="0" xr:uid="{B082F068-7FBC-4BE8-8EDC-21694381C8E1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малокоппл.школа</t>
        </r>
      </text>
    </comment>
    <comment ref="G6" authorId="0" shapeId="0" xr:uid="{6689A607-13A3-4140-BFCD-2760B2A09AD1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начальное дистанц.</t>
        </r>
      </text>
    </comment>
    <comment ref="G7" authorId="0" shapeId="0" xr:uid="{4D2DEF26-4CBE-4A57-AE3C-A2AE57EB67AA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основное общее</t>
        </r>
      </text>
    </comment>
    <comment ref="K7" authorId="0" shapeId="0" xr:uid="{023E9DE3-4C53-4699-9AE0-F4B938FC39A5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основное с дист.обуч.</t>
        </r>
      </text>
    </comment>
    <comment ref="Y7" authorId="0" shapeId="0" xr:uid="{AA67DFDC-AED7-4224-B8EA-8E2A9AD5B8BF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школа и д/с разные здания, за счет этого увеличивается расход </t>
        </r>
      </text>
    </comment>
    <comment ref="G8" authorId="0" shapeId="0" xr:uid="{3C663DDD-3B3D-4879-A282-7EDE3DACBA6F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основное дистанционное</t>
        </r>
      </text>
    </comment>
    <comment ref="K8" authorId="0" shapeId="0" xr:uid="{028F8368-9BFE-4319-AAD9-168C65852AAF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среднее</t>
        </r>
      </text>
    </comment>
    <comment ref="G9" authorId="0" shapeId="0" xr:uid="{493CA3A4-5A18-48F4-9F33-B59AAEFE7941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среднее</t>
        </r>
      </text>
    </comment>
    <comment ref="K9" authorId="0" shapeId="0" xr:uid="{21ACE2BC-144D-4B5F-8292-ECB8456777C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основное дистанц.</t>
        </r>
      </text>
    </comment>
    <comment ref="Q9" authorId="0" shapeId="0" xr:uid="{84F9B132-9545-4B95-B666-083A8C50242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за счет увеличения услуг</t>
        </r>
      </text>
    </comment>
    <comment ref="G10" authorId="0" shapeId="0" xr:uid="{67526338-DAC7-44BE-9D9D-4DEF8F97729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заочное</t>
        </r>
      </text>
    </comment>
    <comment ref="G11" authorId="0" shapeId="0" xr:uid="{56268CC3-5A91-4C8D-9C27-FBAB300492F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Всего школьников</t>
        </r>
      </text>
    </comment>
    <comment ref="S11" authorId="0" shapeId="0" xr:uid="{D7E9AD1C-5FB3-4911-A586-9D75A40D39B5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д/г дети до 3-х лет</t>
        </r>
      </text>
    </comment>
    <comment ref="W11" authorId="0" shapeId="0" xr:uid="{9EA7D9A0-479C-4AD5-9CA2-AA269BB4E567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д/г до 3-х лет</t>
        </r>
      </text>
    </comment>
    <comment ref="G12" authorId="0" shapeId="0" xr:uid="{FB54152C-E7CA-4FD2-8EBB-CA03B56C4682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дошк.гр. Свыше 3-хлет</t>
        </r>
      </text>
    </comment>
    <comment ref="S12" authorId="0" shapeId="0" xr:uid="{62C80611-B5AB-4E5A-906E-637A39A96B62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свыше 3-х лет</t>
        </r>
      </text>
    </comment>
    <comment ref="W12" authorId="0" shapeId="0" xr:uid="{74051BFB-A372-4F56-A40E-C951BCFBDB2B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свыше 3-х лет</t>
        </r>
      </text>
    </comment>
    <comment ref="R18" authorId="0" shapeId="0" xr:uid="{ECC50993-036B-4F3C-96DE-FFB38F27FFB5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потребление воды, канализация и э/энергии оплачивается гимназией за д/с 7</t>
        </r>
      </text>
    </comment>
    <comment ref="J31" authorId="0" shapeId="0" xr:uid="{905E8292-E68E-4D94-946B-CC652C54FD62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310+340</t>
        </r>
      </text>
    </comment>
    <comment ref="J32" authorId="0" shapeId="0" xr:uid="{B494D0C8-2D56-4E16-B1B0-9A33ACBEB966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212,296
</t>
        </r>
      </text>
    </comment>
    <comment ref="L42" authorId="0" shapeId="0" xr:uid="{F880E7A8-BE7D-4EB7-8AC3-BB5953042F53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225</t>
        </r>
      </text>
    </comment>
    <comment ref="J246" authorId="0" shapeId="0" xr:uid="{64DFC4E6-53C7-4427-B9B6-6DD10F16DB81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310+340</t>
        </r>
      </text>
    </comment>
    <comment ref="J247" authorId="0" shapeId="0" xr:uid="{5A4192B3-D743-4921-8893-907382ED69A2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212,296
</t>
        </r>
      </text>
    </comment>
    <comment ref="L257" authorId="0" shapeId="0" xr:uid="{4EE27B39-2320-4F26-A586-09D934A640C6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225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</authors>
  <commentList>
    <comment ref="R18" authorId="0" shapeId="0" xr:uid="{00000000-0006-0000-1200-000001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э/э, потребление воды и канализация оплачивается гимназией</t>
        </r>
      </text>
    </comment>
    <comment ref="V19" authorId="0" shapeId="0" xr:uid="{00000000-0006-0000-1200-000002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расходы на 1 ребенка увеличины за счет текущих расходов на обслуживание дополн.площадей и налогов</t>
        </r>
      </text>
    </comment>
    <comment ref="J28" authorId="0" shapeId="0" xr:uid="{00000000-0006-0000-1200-000003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310,340</t>
        </r>
      </text>
    </comment>
    <comment ref="K28" authorId="0" shapeId="0" xr:uid="{00000000-0006-0000-1200-000004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310,340,питан.м/о</t>
        </r>
      </text>
    </comment>
    <comment ref="J29" authorId="0" shapeId="0" xr:uid="{00000000-0006-0000-1200-000005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212</t>
        </r>
      </text>
    </comment>
    <comment ref="J39" authorId="0" shapeId="0" xr:uid="{00000000-0006-0000-1200-000006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225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</authors>
  <commentList>
    <comment ref="H10" authorId="0" shapeId="0" xr:uid="{00000000-0006-0000-1500-000001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ледовые фигуры, фейерверк</t>
        </r>
      </text>
    </comment>
    <comment ref="R11" authorId="0" shapeId="0" xr:uid="{00000000-0006-0000-1500-000002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 стат. Отчету 7291-в стационаре 3871 онлайн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  <author>Татьяна П. Мельникова</author>
  </authors>
  <commentList>
    <comment ref="G6" authorId="0" shapeId="0" xr:uid="{BE4C44AF-42AD-4F84-B854-2DAA7CCF19D4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общеразв.пр.</t>
        </r>
      </text>
    </comment>
    <comment ref="G7" authorId="0" shapeId="0" xr:uid="{22DB5EA7-B0D5-470C-845B-884FB4B07A96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хор</t>
        </r>
      </text>
    </comment>
    <comment ref="G8" authorId="0" shapeId="0" xr:uid="{0208BF49-BDA3-415D-8A50-BCB56BA21668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художники</t>
        </r>
      </text>
    </comment>
    <comment ref="G9" authorId="0" shapeId="0" xr:uid="{C81B3D58-7FA1-4B77-A634-C3BC3D86CF94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форт.</t>
        </r>
      </text>
    </comment>
    <comment ref="G10" authorId="0" shapeId="0" xr:uid="{959CD9D2-46FE-42A3-90D5-EB8589229845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муз.фол.</t>
        </r>
      </text>
    </comment>
    <comment ref="G11" authorId="1" shapeId="0" xr:uid="{632B7EE3-A2D4-47F5-8855-590863DAAD7C}">
      <text>
        <r>
          <rPr>
            <b/>
            <sz val="9"/>
            <color indexed="81"/>
            <rFont val="Tahoma"/>
            <charset val="1"/>
          </rPr>
          <t>Татьяна П. Мельникова:искус.театра</t>
        </r>
      </text>
    </comment>
    <comment ref="G12" authorId="1" shapeId="0" xr:uid="{622F79CC-7BF6-4166-AB12-6CE1073B205B}">
      <text>
        <r>
          <rPr>
            <b/>
            <sz val="9"/>
            <color indexed="81"/>
            <rFont val="Tahoma"/>
            <charset val="1"/>
          </rPr>
          <t>Татьяна П. Мельникова:</t>
        </r>
        <r>
          <rPr>
            <sz val="9"/>
            <color indexed="81"/>
            <rFont val="Tahoma"/>
            <charset val="1"/>
          </rPr>
          <t xml:space="preserve">
духовые и ударн. Инстр.</t>
        </r>
      </text>
    </comment>
    <comment ref="J197" authorId="1" shapeId="0" xr:uid="{E8EAEEC6-9B82-4AF4-B1A6-0A4F1C729362}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Без л/о</t>
        </r>
      </text>
    </comment>
    <comment ref="K197" authorId="1" shapeId="0" xr:uid="{D7AAA019-62D6-4229-B0D7-93562FB34FAA}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без л/о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</authors>
  <commentList>
    <comment ref="V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к применяем только к теплу бассейна (739*0,028*12*110%=521,51м3</t>
        </r>
      </text>
    </comment>
    <comment ref="G8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ОПЛАЧИВАЕТ БИБЛИОТЕКА</t>
        </r>
      </text>
    </comment>
    <comment ref="I8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оплачивает только уличное освещение, внутреннее освещение оплачивает библиотека </t>
        </r>
      </text>
    </comment>
    <comment ref="L8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работа э/оборудования</t>
        </r>
      </text>
    </comment>
    <comment ref="Q8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отопление доп.модульных построек,уличное освещение</t>
        </r>
      </text>
    </comment>
    <comment ref="G13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расчет произведен вместе с библиотекой</t>
        </r>
      </text>
    </comment>
    <comment ref="R13" authorId="0" shapeId="0" xr:uid="{00000000-0006-0000-0100-000007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к/мероприятия</t>
        </r>
      </text>
    </comment>
    <comment ref="G14" authorId="0" shapeId="0" xr:uid="{00000000-0006-0000-0100-000008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расчет произведен вместе с библиотекой</t>
        </r>
      </text>
    </comment>
    <comment ref="H29" authorId="0" shapeId="0" xr:uid="{00000000-0006-0000-0100-000009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увеличение зимой, холодная температура</t>
        </r>
      </text>
    </comment>
    <comment ref="V29" authorId="0" shapeId="0" xr:uid="{00000000-0006-0000-0100-00000A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к применяем только к теплу бассейна (739*0,028*12*110%=521,51м3</t>
        </r>
      </text>
    </comment>
    <comment ref="G30" authorId="0" shapeId="0" xr:uid="{00000000-0006-0000-0100-00000B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ОПЛАЧИВАЕТ БИБЛИОТЕКА</t>
        </r>
      </text>
    </comment>
    <comment ref="I30" authorId="0" shapeId="0" xr:uid="{00000000-0006-0000-0100-00000C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оплачивает только уличное освещение, внутреннее освещение оплачивает библиотека </t>
        </r>
      </text>
    </comment>
    <comment ref="L30" authorId="0" shapeId="0" xr:uid="{00000000-0006-0000-0100-00000D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работа э/оборудования</t>
        </r>
      </text>
    </comment>
    <comment ref="Q30" authorId="0" shapeId="0" xr:uid="{00000000-0006-0000-0100-00000E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отопление доп.модульных построек,уличное освещение</t>
        </r>
      </text>
    </comment>
    <comment ref="G35" authorId="0" shapeId="0" xr:uid="{00000000-0006-0000-0100-00000F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расчет произведен вместе с библиотекой</t>
        </r>
      </text>
    </comment>
    <comment ref="R35" authorId="0" shapeId="0" xr:uid="{00000000-0006-0000-0100-000010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к/мероприятия</t>
        </r>
      </text>
    </comment>
    <comment ref="S35" authorId="0" shapeId="0" xr:uid="{00000000-0006-0000-0100-000011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ВОДУ НА спорт.базе не выставляют,только заливка катка</t>
        </r>
      </text>
    </comment>
    <comment ref="G36" authorId="0" shapeId="0" xr:uid="{00000000-0006-0000-0100-000012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расчет произведен вместе с библиотекой</t>
        </r>
      </text>
    </comment>
    <comment ref="W36" authorId="0" shapeId="0" xr:uid="{00000000-0006-0000-0100-000013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в 3кв.меняли воду в бассейне,разница между водоснабжением и водоотведением 495,4 м3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</authors>
  <commentList>
    <comment ref="T7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цент.библ.-0,029,филиалы -0,026
</t>
        </r>
      </text>
    </comment>
    <comment ref="W7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к потери, применяемый к зданиям филиалов </t>
        </r>
      </text>
    </comment>
    <comment ref="M8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эл.оборудование</t>
        </r>
      </text>
    </comment>
    <comment ref="V8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ОПЛАЧИВАЕТ Э/Э ЗА ДШИ</t>
        </r>
      </text>
    </comment>
    <comment ref="W8" authorId="0" shapeId="0" xr:uid="{00000000-0006-0000-0200-000005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ЭКОНОМИЯ ЗА СЧЕТ Э/СБЕР.ЛАМП</t>
        </r>
      </text>
    </comment>
    <comment ref="H9" authorId="0" shapeId="0" xr:uid="{00000000-0006-0000-0200-000006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предост культ.массовых услуг, дискотек.</t>
        </r>
      </text>
    </comment>
    <comment ref="M9" authorId="0" shapeId="0" xr:uid="{00000000-0006-0000-0200-000007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предоставление к/массовых услуг,дискотек</t>
        </r>
      </text>
    </comment>
    <comment ref="V9" authorId="0" shapeId="0" xr:uid="{00000000-0006-0000-0200-000008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оплачивает ДШИ</t>
        </r>
      </text>
    </comment>
    <comment ref="H10" authorId="0" shapeId="0" xr:uid="{00000000-0006-0000-0200-000009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предост культ.массовых услуг, дискотек.</t>
        </r>
      </text>
    </comment>
    <comment ref="T31" authorId="0" shapeId="0" xr:uid="{00000000-0006-0000-0200-00000A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цент.библ.-0,029,филиалы -0,026
</t>
        </r>
      </text>
    </comment>
    <comment ref="W31" authorId="0" shapeId="0" xr:uid="{00000000-0006-0000-0200-00000B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к потери, применяемый к зданиям филиалов </t>
        </r>
      </text>
    </comment>
    <comment ref="M32" authorId="0" shapeId="0" xr:uid="{00000000-0006-0000-0200-00000C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эл.оборудование</t>
        </r>
      </text>
    </comment>
    <comment ref="V32" authorId="0" shapeId="0" xr:uid="{00000000-0006-0000-0200-00000D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ОПЛАЧИВАЕТ Э/Э ЗА ДШИ</t>
        </r>
      </text>
    </comment>
    <comment ref="W32" authorId="0" shapeId="0" xr:uid="{00000000-0006-0000-0200-00000E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ЭКОНОМИЯ ЗА СЧЕТ Э/СБЕР.ЛАМП</t>
        </r>
      </text>
    </comment>
    <comment ref="H33" authorId="0" shapeId="0" xr:uid="{00000000-0006-0000-0200-00000F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предост культ.массовых услуг, дискотек.</t>
        </r>
      </text>
    </comment>
    <comment ref="M33" authorId="0" shapeId="0" xr:uid="{00000000-0006-0000-0200-000010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предоставление к/массовых услуг,дискотек</t>
        </r>
      </text>
    </comment>
    <comment ref="V33" authorId="0" shapeId="0" xr:uid="{00000000-0006-0000-0200-000011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оплачивает ДШИ</t>
        </r>
      </text>
    </comment>
    <comment ref="H34" authorId="0" shapeId="0" xr:uid="{00000000-0006-0000-0200-000012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предост культ.массовых услуг, дискотек.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</authors>
  <commentList>
    <comment ref="Q6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к увеличивается в связи с проездом педагогов с детьми</t>
        </r>
      </text>
    </comment>
    <comment ref="U6" authorId="0" shapeId="0" xr:uid="{00000000-0006-0000-0300-000002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малокомплектная школа</t>
        </r>
      </text>
    </comment>
    <comment ref="Y6" authorId="0" shapeId="0" xr:uid="{00000000-0006-0000-0300-000003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малокоппл.школа</t>
        </r>
      </text>
    </comment>
    <comment ref="Y8" authorId="0" shapeId="0" xr:uid="{00000000-0006-0000-0300-000004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школа и д/с разные здания, за счет этого увеличивается расход </t>
        </r>
      </text>
    </comment>
    <comment ref="J9" authorId="0" shapeId="0" xr:uid="{00000000-0006-0000-0300-000005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 учетом ремонта тира 1686,1</t>
        </r>
      </text>
    </comment>
    <comment ref="Q10" authorId="0" shapeId="0" xr:uid="{00000000-0006-0000-0300-000006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за счет увеличения услуг</t>
        </r>
      </text>
    </comment>
    <comment ref="I89" authorId="0" shapeId="0" xr:uid="{00000000-0006-0000-0300-000007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ледовые фигуры, фейерверк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</authors>
  <commentList>
    <comment ref="Q7" authorId="0" shapeId="0" xr:uid="{00000000-0006-0000-0700-000001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к увеличивается в связи с проездом педагогов с детьми</t>
        </r>
      </text>
    </comment>
    <comment ref="U7" authorId="0" shapeId="0" xr:uid="{00000000-0006-0000-0700-000002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малокомплектная школа</t>
        </r>
      </text>
    </comment>
    <comment ref="Y7" authorId="0" shapeId="0" xr:uid="{00000000-0006-0000-0700-000003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малокоппл.школа</t>
        </r>
      </text>
    </comment>
    <comment ref="Y9" authorId="0" shapeId="0" xr:uid="{00000000-0006-0000-0700-000004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школа и д/с разные здания, за счет этого увеличивается расход </t>
        </r>
      </text>
    </comment>
    <comment ref="J10" authorId="0" shapeId="0" xr:uid="{00000000-0006-0000-0700-000005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 учетом ремонта тира 1686,1</t>
        </r>
      </text>
    </comment>
    <comment ref="Q11" authorId="0" shapeId="0" xr:uid="{00000000-0006-0000-0700-000006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за счет увеличения услуг</t>
        </r>
      </text>
    </comment>
    <comment ref="J16" authorId="0" shapeId="0" xr:uid="{00000000-0006-0000-0700-000007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в д/группах -питание по пр.м/о</t>
        </r>
      </text>
    </comment>
    <comment ref="R19" authorId="0" shapeId="0" xr:uid="{00000000-0006-0000-0700-000008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потребление воды, канализация и э/энергии оплачивается гимназией за д/с 7</t>
        </r>
      </text>
    </comment>
    <comment ref="R64" authorId="0" shapeId="0" xr:uid="{00000000-0006-0000-0700-000009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э/э, потребление воды и канализация оплачивается гимназией</t>
        </r>
      </text>
    </comment>
    <comment ref="V65" authorId="0" shapeId="0" xr:uid="{00000000-0006-0000-0700-00000A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расходы на 1 ребенка увеличины за счет текущих расходов на обслуживание дополн.площадей и налогов</t>
        </r>
      </text>
    </comment>
    <comment ref="I146" authorId="0" shapeId="0" xr:uid="{00000000-0006-0000-0700-00000B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ледовые фигуры, фейерверк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</authors>
  <commentList>
    <comment ref="Q7" authorId="0" shapeId="0" xr:uid="{00000000-0006-0000-0900-000001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к увеличивается в связи с проездом педагогов с детьми</t>
        </r>
      </text>
    </comment>
    <comment ref="U7" authorId="0" shapeId="0" xr:uid="{00000000-0006-0000-0900-000002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малокомплектная школа</t>
        </r>
      </text>
    </comment>
    <comment ref="Y7" authorId="0" shapeId="0" xr:uid="{00000000-0006-0000-0900-000003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малокоппл.школа</t>
        </r>
      </text>
    </comment>
    <comment ref="Y9" authorId="0" shapeId="0" xr:uid="{00000000-0006-0000-0900-000004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школа и д/с разные здания, за счет этого увеличивается расход </t>
        </r>
      </text>
    </comment>
    <comment ref="J10" authorId="0" shapeId="0" xr:uid="{00000000-0006-0000-0900-000005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 учетом ремонта тира 1686,1</t>
        </r>
      </text>
    </comment>
    <comment ref="Q11" authorId="0" shapeId="0" xr:uid="{00000000-0006-0000-0900-000006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за счет увеличения услуг</t>
        </r>
      </text>
    </comment>
    <comment ref="J16" authorId="0" shapeId="0" xr:uid="{00000000-0006-0000-0900-000007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в д/группах -питание по пр.м/о</t>
        </r>
      </text>
    </comment>
    <comment ref="R19" authorId="0" shapeId="0" xr:uid="{00000000-0006-0000-0900-000008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потребление воды, канализация и э/энергии оплачивается гимназией за д/с 7</t>
        </r>
      </text>
    </comment>
    <comment ref="R64" authorId="0" shapeId="0" xr:uid="{00000000-0006-0000-0900-000009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э/э, потребление воды и канализация оплачивается гимназией</t>
        </r>
      </text>
    </comment>
    <comment ref="V65" authorId="0" shapeId="0" xr:uid="{00000000-0006-0000-0900-00000A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расходы на 1 ребенка увеличины за счет текущих расходов на обслуживание дополн.площадей и налогов</t>
        </r>
      </text>
    </comment>
    <comment ref="I146" authorId="0" shapeId="0" xr:uid="{00000000-0006-0000-0900-00000B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ледовые фигуры, фейерверк</t>
        </r>
      </text>
    </comment>
    <comment ref="S147" authorId="0" shapeId="0" xr:uid="{00000000-0006-0000-0900-00000C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 стат. отчнту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</authors>
  <commentList>
    <comment ref="W7" authorId="0" shapeId="0" xr:uid="{00000000-0006-0000-0A00-000001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к увеличивается в связи с проездом педагогов с детьми</t>
        </r>
      </text>
    </comment>
    <comment ref="AA7" authorId="0" shapeId="0" xr:uid="{00000000-0006-0000-0A00-000002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малокомплектная школа</t>
        </r>
      </text>
    </comment>
    <comment ref="AE7" authorId="0" shapeId="0" xr:uid="{00000000-0006-0000-0A00-000003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малокоппл.школа</t>
        </r>
      </text>
    </comment>
    <comment ref="AE9" authorId="0" shapeId="0" xr:uid="{00000000-0006-0000-0A00-000004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школа и д/с разные здания, за счет этого увеличивается расход </t>
        </r>
      </text>
    </comment>
    <comment ref="J10" authorId="0" shapeId="0" xr:uid="{00000000-0006-0000-0A00-000005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 учетом ремонта тира 1686,1</t>
        </r>
      </text>
    </comment>
    <comment ref="W11" authorId="0" shapeId="0" xr:uid="{00000000-0006-0000-0A00-000006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за счет увеличения услуг</t>
        </r>
      </text>
    </comment>
    <comment ref="J16" authorId="0" shapeId="0" xr:uid="{00000000-0006-0000-0A00-000007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в д/группах -питание по пр.м/о</t>
        </r>
      </text>
    </comment>
    <comment ref="X19" authorId="0" shapeId="0" xr:uid="{00000000-0006-0000-0A00-000008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потребление воды, канализация и э/энергии оплачивается гимназией за д/с 7</t>
        </r>
      </text>
    </comment>
    <comment ref="X81" authorId="0" shapeId="0" xr:uid="{00000000-0006-0000-0A00-000009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э/э, потребление воды и канализация оплачивается гимназией</t>
        </r>
      </text>
    </comment>
    <comment ref="AB82" authorId="0" shapeId="0" xr:uid="{00000000-0006-0000-0A00-00000A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расходы на 1 ребенка увеличины за счет текущих расходов на обслуживание дополн.площадей и налогов</t>
        </r>
      </text>
    </comment>
    <comment ref="I163" authorId="0" shapeId="0" xr:uid="{00000000-0006-0000-0A00-00000B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ледовые фигуры, фейерверк</t>
        </r>
      </text>
    </comment>
    <comment ref="Y164" authorId="0" shapeId="0" xr:uid="{00000000-0006-0000-0A00-00000C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 стат. отчнту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</authors>
  <commentList>
    <comment ref="G7" authorId="0" shapeId="0" xr:uid="{00000000-0006-0000-0B00-000001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среднесписочное</t>
        </r>
      </text>
    </comment>
    <comment ref="Q7" authorId="0" shapeId="0" xr:uid="{00000000-0006-0000-0B00-000002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к увеличивается в связи с проездом педагогов с детьми</t>
        </r>
      </text>
    </comment>
    <comment ref="U7" authorId="0" shapeId="0" xr:uid="{00000000-0006-0000-0B00-000003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малокомплектная школа</t>
        </r>
      </text>
    </comment>
    <comment ref="Y7" authorId="0" shapeId="0" xr:uid="{00000000-0006-0000-0B00-000004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малокоппл.школа</t>
        </r>
      </text>
    </comment>
    <comment ref="Y9" authorId="0" shapeId="0" xr:uid="{00000000-0006-0000-0B00-000005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школа и д/с разные здания, за счет этого увеличивается расход </t>
        </r>
      </text>
    </comment>
    <comment ref="J10" authorId="0" shapeId="0" xr:uid="{00000000-0006-0000-0B00-000006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 учетом ремонта тира 1686,1</t>
        </r>
      </text>
    </comment>
    <comment ref="Q11" authorId="0" shapeId="0" xr:uid="{00000000-0006-0000-0B00-000007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за счет увеличения услуг</t>
        </r>
      </text>
    </comment>
    <comment ref="J16" authorId="0" shapeId="0" xr:uid="{00000000-0006-0000-0B00-000008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в д/группах -питание по пр.м/о</t>
        </r>
      </text>
    </comment>
    <comment ref="R19" authorId="0" shapeId="0" xr:uid="{00000000-0006-0000-0B00-000009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потребление воды, канализация и э/энергии оплачивается гимназией за д/с 7</t>
        </r>
      </text>
    </comment>
    <comment ref="R65" authorId="0" shapeId="0" xr:uid="{00000000-0006-0000-0B00-00000A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э/э, потребление воды и канализация оплачивается гимназией</t>
        </r>
      </text>
    </comment>
    <comment ref="V66" authorId="0" shapeId="0" xr:uid="{00000000-0006-0000-0B00-00000B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расходы на 1 ребенка увеличины за счет текущих расходов на обслуживание дополн.площадей и налогов</t>
        </r>
      </text>
    </comment>
    <comment ref="I148" authorId="0" shapeId="0" xr:uid="{00000000-0006-0000-0B00-00000C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ледовые фигуры, фейерверк</t>
        </r>
      </text>
    </comment>
    <comment ref="S149" authorId="0" shapeId="0" xr:uid="{00000000-0006-0000-0B00-00000D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 стат. отчнту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</authors>
  <commentList>
    <comment ref="G7" authorId="0" shapeId="0" xr:uid="{00000000-0006-0000-0C00-000001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среднесписочное</t>
        </r>
      </text>
    </comment>
    <comment ref="Q7" authorId="0" shapeId="0" xr:uid="{00000000-0006-0000-0C00-000002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к увеличивается в связи с проездом педагогов с детьми</t>
        </r>
      </text>
    </comment>
    <comment ref="U7" authorId="0" shapeId="0" xr:uid="{00000000-0006-0000-0C00-000003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малокомплектная школа</t>
        </r>
      </text>
    </comment>
    <comment ref="Y7" authorId="0" shapeId="0" xr:uid="{00000000-0006-0000-0C00-000004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малокоппл.школа</t>
        </r>
      </text>
    </comment>
    <comment ref="Y9" authorId="0" shapeId="0" xr:uid="{00000000-0006-0000-0C00-000005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школа и д/с разные здания, за счет этого увеличивается расход </t>
        </r>
      </text>
    </comment>
    <comment ref="J10" authorId="0" shapeId="0" xr:uid="{00000000-0006-0000-0C00-000006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 учетом ремонта тира 1686,1</t>
        </r>
      </text>
    </comment>
    <comment ref="Q11" authorId="0" shapeId="0" xr:uid="{00000000-0006-0000-0C00-000007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за счет увеличения услуг</t>
        </r>
      </text>
    </comment>
    <comment ref="J16" authorId="0" shapeId="0" xr:uid="{00000000-0006-0000-0C00-000008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в д/группах -питание по пр.м/о</t>
        </r>
      </text>
    </comment>
    <comment ref="R19" authorId="0" shapeId="0" xr:uid="{00000000-0006-0000-0C00-000009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потребление воды, канализация и э/энергии оплачивается гимназией за д/с 7</t>
        </r>
      </text>
    </comment>
    <comment ref="R65" authorId="0" shapeId="0" xr:uid="{00000000-0006-0000-0C00-00000A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э/э, потребление воды и канализация оплачивается гимназией</t>
        </r>
      </text>
    </comment>
    <comment ref="V66" authorId="0" shapeId="0" xr:uid="{00000000-0006-0000-0C00-00000B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расходы на 1 ребенка увеличины за счет текущих расходов на обслуживание дополн.площадей и налогов</t>
        </r>
      </text>
    </comment>
    <comment ref="I177" authorId="0" shapeId="0" xr:uid="{00000000-0006-0000-0C00-00000C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ледовые фигуры, фейерверк</t>
        </r>
      </text>
    </comment>
    <comment ref="S178" authorId="0" shapeId="0" xr:uid="{00000000-0006-0000-0C00-00000D000000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 стат. отчнту</t>
        </r>
      </text>
    </comment>
  </commentList>
</comments>
</file>

<file path=xl/sharedStrings.xml><?xml version="1.0" encoding="utf-8"?>
<sst xmlns="http://schemas.openxmlformats.org/spreadsheetml/2006/main" count="4361" uniqueCount="413">
  <si>
    <t>Нормативы  потребления коммунальных услуг в образовательных учреждениях  МО "Городской округ Ногликский"</t>
  </si>
  <si>
    <t>Наименование коммунальной услуги</t>
  </si>
  <si>
    <t>Единица измерения</t>
  </si>
  <si>
    <t>К  +   -</t>
  </si>
  <si>
    <t>№ п/п</t>
  </si>
  <si>
    <t>Учреждение   МБОУ  СОШ 1</t>
  </si>
  <si>
    <t>Учреждение   МБОУ  СОШ 2</t>
  </si>
  <si>
    <t>Учреждение   МБОУ  Гимназия</t>
  </si>
  <si>
    <t>1.</t>
  </si>
  <si>
    <t>Гкал</t>
  </si>
  <si>
    <t>Отопление</t>
  </si>
  <si>
    <t>Норматив  на 1 уч-ся</t>
  </si>
  <si>
    <t>кол-во учащихся</t>
  </si>
  <si>
    <t>Норма потребления</t>
  </si>
  <si>
    <t>К  +   -   %</t>
  </si>
  <si>
    <t>Учреждение   МБОУ  средняя общеобразовательная школа с.Ныш</t>
  </si>
  <si>
    <t>Учреждение   МБОУ  средняя общеобразовательная школа с.Вал</t>
  </si>
  <si>
    <t>2.</t>
  </si>
  <si>
    <t>Э/энергия</t>
  </si>
  <si>
    <t>Квт</t>
  </si>
  <si>
    <t>3.</t>
  </si>
  <si>
    <t>Вода</t>
  </si>
  <si>
    <t>М3</t>
  </si>
  <si>
    <t>К  +   -  %</t>
  </si>
  <si>
    <t>Водоотведение</t>
  </si>
  <si>
    <t>кол-во  потребления</t>
  </si>
  <si>
    <t>2017 год</t>
  </si>
  <si>
    <t>4.</t>
  </si>
  <si>
    <t>Норматив  на 1 ребенка</t>
  </si>
  <si>
    <t>кол-во детей</t>
  </si>
  <si>
    <t>Учреждение   МБДОУ Д/сад №2</t>
  </si>
  <si>
    <t>Учреждение   МБДОУ Д/сад №1</t>
  </si>
  <si>
    <t>Учреждение   МБДОУ Д/сад №7</t>
  </si>
  <si>
    <t>Учреждение   МБДОУ Д/сад № 9</t>
  </si>
  <si>
    <t>Учреждение   МБДОУ Д/сад №11</t>
  </si>
  <si>
    <t>При расчете норматива на тепло норматив на учащегося принят на основе анализа потребления  тепла за 3 года. При расчете  также учитывалась площадь учреждения,  норматив потребления тепла на 1м2, который изменяется в зависимости от года постройки здания и его этажности: 0,019;  0,021,0,023, учитывается кол-во месяцев отопления.Пример: Площадь Д/с 1 равна 3339 м2*0,019*9 мес.= 570,97 Гкал в год</t>
  </si>
  <si>
    <t xml:space="preserve">При расчете норматива электроэнергии  принимаем мощность источников света на 1М2 18Вт,  расход электроэнергии  на электрооборудование в общей структуре затрат на электроэнергию  составляет 55%. Для учреждений,  в которых осуществляется приготовление пищи расход э/энергии на электрооборудование  в общей  структуре затрат может составлять от 65-70%. Расход э/энергии на внешнее  освещение составляет от 8% (в зависимости от размера территории и мощности освещения). Пример: Д/с 1 - освещение здания равно: 18 Вт*3339 м2*226(дни работы уч-ния)*8 часов/1000=108664,4. Годовой объем электроэнергии на работу оборудования= 108664,4/045*0,55=132812,04 . Общий годовой расход э/э будет равен: 108664,4+132812,04=241476,44кВтв год. При расчете норматива на э/энергию норматив на учащегося принят на основе анализа потребления э/энергии за 3 года. . </t>
  </si>
  <si>
    <t>При расчете норматива на потребление  воды применяем норматив на одного учащегося и персонал в размере 12 л в сутки на кол-во дней работы учреждения,  применяем  коэффициент  на приготовление пищи  на сырье.  При расчете норматива на потребление воды и водоотведение норматив на учащегося принят на основе анализа потребления  воды за 3 года.</t>
  </si>
  <si>
    <t>Учреждение   МБОУ  ДО ДШИ</t>
  </si>
  <si>
    <t>Учреждение   МБОУ  ДО ЦТ и В</t>
  </si>
  <si>
    <t>Учреждение   МБОУ  ДО ДЮСШ</t>
  </si>
  <si>
    <t>Норматив  на 1 м2</t>
  </si>
  <si>
    <t>площадь м2</t>
  </si>
  <si>
    <t>норматив на 1 м2</t>
  </si>
  <si>
    <t>Нормативы  потребления коммунальных услуг в учреждениях  дополнительно образования МО "Городской округ Ногликский"</t>
  </si>
  <si>
    <t>Учреждение   МБОУ  ДЮСШ бассейн</t>
  </si>
  <si>
    <t>норматив  на 1обуч-ся, работника</t>
  </si>
  <si>
    <t>12/10</t>
  </si>
  <si>
    <t>кол-во обуч-ся,работ.</t>
  </si>
  <si>
    <t>23/170</t>
  </si>
  <si>
    <t xml:space="preserve"> 12/10</t>
  </si>
  <si>
    <t>364/23</t>
  </si>
  <si>
    <t>109/32</t>
  </si>
  <si>
    <t>При расчете норматива на тепло  учитывалась площадь учреждения,  норматив потребления тепла на 1м2, который изменяется в зависимости от года постройки здания и его этажности: 0,019;  0,021,0,023, учитывается кол-во месяцев отопления. Пример:  площадьДЮСШ  806,35 м2*0,028*9мес.=203,2 Гкаал</t>
  </si>
  <si>
    <t>При расчете норматива на потребление  воды применяем норматив для персонала в размере 12 л в сутки, для  учащихся - 10 л, на кол-во дней работы учреждения. При расчете норматива на потребление воды и водоотведение нормативы  приняты на основе анализа потребления  воды за 3 года.</t>
  </si>
  <si>
    <t>Учреждение   МБУ  Культуры РЦД</t>
  </si>
  <si>
    <t>Учреждение   МБУ  Культуры СДК с.Ныш</t>
  </si>
  <si>
    <t>Учреждение   МБУ  Культуры СДК с.Вал</t>
  </si>
  <si>
    <t>Учреждение   МБУ  Культуры Ногликская РЦБ</t>
  </si>
  <si>
    <t xml:space="preserve">Учреждение   МБУ  Культуры Ногликский краеведческий музей </t>
  </si>
  <si>
    <t>норматив на 1м2</t>
  </si>
  <si>
    <t>0,029/0,026</t>
  </si>
  <si>
    <t>688,9/561,3</t>
  </si>
  <si>
    <t>Нормативы  потребления коммунальных услуг в учреждениях  культуры  МО "Городской округ Ногликский"</t>
  </si>
  <si>
    <t>12/8,6</t>
  </si>
  <si>
    <t>Примечание: расходы за потребление э/энергии ДШИ оплачивает библиотека.               Расходы по использованию воды  библиотеки оплачивает ДШИ</t>
  </si>
  <si>
    <t>При расчете норматива на тепло  учитывалась площадь учреждения,  норматив потребления тепла на 1м2, который изменяется в зависимости от года постройки здания и его этажности: 0,024; 0,026; 0,029; 0,032,  учитывается кол-во месяцев отопления. Пример:  площадь РЦД 1075,7 м2*0,024*9мес.=235,35 Гкал</t>
  </si>
  <si>
    <t>При расчете норматива электроэнергии  принимаем мощность источников света на 1М2 18Вт, учитывая продолжительность работы.   Расход электроэнергии  на электрооборудование в общей структуре затрат на электроэнергию  составляет от 10 до 30%.  Расход э/энергии на внешнее  освещение составляет от 8% (в зависимости от размера территории и мощности освещения).  При расчете норматива на э/энергию норматив  принят на основе анализа потребления э/энергии за 3 года.</t>
  </si>
  <si>
    <t>При расчете норматива на потребление  воды применяем норматив для персонала в размере 12 л в сутки, для  участников художественной самодеятельности - 8,6л, на кол-во дней работы учреждения. При расчете норматива на потребление воды и водоотведение нормативы  приняты на основе анализа потребления  воды за 3 года.</t>
  </si>
  <si>
    <t>Потребление э/энергии Д/садом №7 оплачивается Гимназией(единый счетчик),  Д/сад №7 оплачивает  счета за уличное освещение</t>
  </si>
  <si>
    <t>Потребление воды  Д/садом №7 оплачивается Гимназией.</t>
  </si>
  <si>
    <t>Наименование  услуги</t>
  </si>
  <si>
    <t>Проезд в отпуск</t>
  </si>
  <si>
    <t>руб.</t>
  </si>
  <si>
    <t>Учреждение   МБДОУ  Д/с №1</t>
  </si>
  <si>
    <t>Учреждение   МБДОУ  Д/с №2</t>
  </si>
  <si>
    <t>Учреждение   МБДОУ  Д/с №7</t>
  </si>
  <si>
    <t>Учреждение   МБДОУ  Д/с №9</t>
  </si>
  <si>
    <t>Учреждение   МБДОУ  Д/с №11</t>
  </si>
  <si>
    <t>Командировки</t>
  </si>
  <si>
    <t>Содержание зданий</t>
  </si>
  <si>
    <t>Текущий ремонт</t>
  </si>
  <si>
    <t>Норматив  на 1 ребенка, м2</t>
  </si>
  <si>
    <t>5.</t>
  </si>
  <si>
    <t>Прочие услуги</t>
  </si>
  <si>
    <t>6.</t>
  </si>
  <si>
    <t>Приобретение ОФ</t>
  </si>
  <si>
    <t>7.</t>
  </si>
  <si>
    <t>Приобретение МЗ</t>
  </si>
  <si>
    <t>8.</t>
  </si>
  <si>
    <t>Налоги</t>
  </si>
  <si>
    <t>9.</t>
  </si>
  <si>
    <t xml:space="preserve">Доплата за питание </t>
  </si>
  <si>
    <t>10.</t>
  </si>
  <si>
    <t>Питание м/о</t>
  </si>
  <si>
    <t>К/массовые меропр.</t>
  </si>
  <si>
    <t>ГПД</t>
  </si>
  <si>
    <t>Дополнительное питание в школах</t>
  </si>
  <si>
    <t>Родительская плата в д/гр.</t>
  </si>
  <si>
    <t>11.</t>
  </si>
  <si>
    <t>12.</t>
  </si>
  <si>
    <t>13.</t>
  </si>
  <si>
    <t>Коммунальные услуги</t>
  </si>
  <si>
    <t>Всего расходов за 2017 год</t>
  </si>
  <si>
    <t>З/плата</t>
  </si>
  <si>
    <t>Участие в меропр.-педагоги (112)</t>
  </si>
  <si>
    <t>Содержание</t>
  </si>
  <si>
    <t>Норматив  на 1 уч-ся,  ч/час.</t>
  </si>
  <si>
    <t>кол-во детей,  ч/час.</t>
  </si>
  <si>
    <t>Ремонт</t>
  </si>
  <si>
    <t>Итого</t>
  </si>
  <si>
    <t>Услуги связи</t>
  </si>
  <si>
    <t>Всего расходов</t>
  </si>
  <si>
    <t>Норматив на 1 учащегося</t>
  </si>
  <si>
    <t>Норматив на одного ребенка</t>
  </si>
  <si>
    <t>Норматив на одного учащегося</t>
  </si>
  <si>
    <t>Норматив потребления</t>
  </si>
  <si>
    <t>Норматив на ч/час</t>
  </si>
  <si>
    <t>Учреждение   МБУК  СДК с. Вал</t>
  </si>
  <si>
    <t>Учреждение   МБУК  СДК с. Ныш</t>
  </si>
  <si>
    <t>Учреждение   МБУК  РЦД</t>
  </si>
  <si>
    <t>кол-во работников,   ч/час.</t>
  </si>
  <si>
    <t>кол-во работников,   ч/час., м2</t>
  </si>
  <si>
    <t>Норматив  на 1 работника, м2, уч-ка творч.коллектива</t>
  </si>
  <si>
    <t>700;  200</t>
  </si>
  <si>
    <t>норматив на участника творческого кол-ва</t>
  </si>
  <si>
    <t>норматив на 1М2</t>
  </si>
  <si>
    <t>норматив на работающего</t>
  </si>
  <si>
    <t>Общий норматив на участников твор.кол-ва</t>
  </si>
  <si>
    <t>Учреждение   МБУК  РЦ Библиотека</t>
  </si>
  <si>
    <t>Учреждение   МБУК  М краеведческий музей</t>
  </si>
  <si>
    <t>20/3  35000,0</t>
  </si>
  <si>
    <t>36,5  10200</t>
  </si>
  <si>
    <t>норматив на число читателей</t>
  </si>
  <si>
    <t>норматив на число посещений</t>
  </si>
  <si>
    <t>Норматив потребления  в учреждениях МБОУ  на 1 обучающегося</t>
  </si>
  <si>
    <t>Норматив потребления  в учреждениях МБДОУ  на 1 обучающегося</t>
  </si>
  <si>
    <t>Норматив потребления  в учреждениях МБУ  Культуры на 1 М2</t>
  </si>
  <si>
    <t>Электроэнергия</t>
  </si>
  <si>
    <t>Норматив потребления  в учреждениях МБОУ  ДО на 1 М2, 1 работающего.</t>
  </si>
  <si>
    <t>12л</t>
  </si>
  <si>
    <t>8 л</t>
  </si>
  <si>
    <t>8л</t>
  </si>
  <si>
    <t>Вывоз мусора</t>
  </si>
  <si>
    <t>Нормативные затраты</t>
  </si>
  <si>
    <t>Проезд  в отпуск</t>
  </si>
  <si>
    <t>Командировочные расходы</t>
  </si>
  <si>
    <t>Содержание зданий и сооружений</t>
  </si>
  <si>
    <t>Текущий  ремонт</t>
  </si>
  <si>
    <t>Прочие расходы</t>
  </si>
  <si>
    <t>ДШИ</t>
  </si>
  <si>
    <t>ЦТ и В</t>
  </si>
  <si>
    <t>ДЮСШ</t>
  </si>
  <si>
    <t>РЦД</t>
  </si>
  <si>
    <t>СДК В</t>
  </si>
  <si>
    <t>СДК Н</t>
  </si>
  <si>
    <t>Библиотека</t>
  </si>
  <si>
    <t>Музей</t>
  </si>
  <si>
    <t>0,026; 0,029</t>
  </si>
  <si>
    <t>12; 8,6 л</t>
  </si>
  <si>
    <t>Квт, вт</t>
  </si>
  <si>
    <t>Норматив потребления  в учреждениях МБОУ  ДО на 1 М2, 1 работающего, обучающегося, ч/час</t>
  </si>
  <si>
    <t>Норматив потребления  в учреждениях МБУ  Культуры на 1 М2, работающего, кол-во формирований, посещений</t>
  </si>
  <si>
    <t>Расчеты потребления коммунальных услуг  - таблица №1, №2, №3</t>
  </si>
  <si>
    <t>таблица № 1</t>
  </si>
  <si>
    <t>К  +   - %</t>
  </si>
  <si>
    <t>таблица № 2</t>
  </si>
  <si>
    <t>таблица  № 3</t>
  </si>
  <si>
    <t>МБОУ СОШ с.Ныш и  СОШ с.Вал -малокомплектные школы, нормативы коммунальных  услуг рассчитаны, но принимаем сложившийся  результат.</t>
  </si>
  <si>
    <t>При расчете норматива электроэнергии  принимаем мощность источников света на 1М2 18Вт, учитывая продолжительность работы.   Расход электроэнергии  на электрооборудование в общей структуре затрат на электроэнергию  составляет от 10 до 15%.  Расход э/энергии на внешнее  освещение составляет от 8% (в зависимости от размера территории и мощности освещения).  При расчете норматива на э/энергию норматив  принят на основе анализа потребления э/энергии за 3 года. Пример  ДШИ  - 18Вт*591,6*222дн.*8час.=18912,27 Квт</t>
  </si>
  <si>
    <t>Нормативные затраты на оказание муниципальной услуги</t>
  </si>
  <si>
    <t>Коммунальные  услуги, в том числе:</t>
  </si>
  <si>
    <t>расходы на электроэнергию 90%</t>
  </si>
  <si>
    <t>расходы на теплоэнергию 50%</t>
  </si>
  <si>
    <t>расходы на водоснабжение и водоотведение</t>
  </si>
  <si>
    <t>Иные  затраты</t>
  </si>
  <si>
    <t>Затраты на приобретение материальных запасов</t>
  </si>
  <si>
    <t>Затраты на общехозяйственные нужды</t>
  </si>
  <si>
    <t>Затраты на оплату труда и начисления на выплаты по оплате труда основного персонала</t>
  </si>
  <si>
    <t>Затраты на оплату труда и начисления на выплаты по оплате труда административно-управленческого, обслуживающего и прочего персонала</t>
  </si>
  <si>
    <t>Затраты на приобретение услуг связи</t>
  </si>
  <si>
    <t>Затраты на приобретение транспортных услуг</t>
  </si>
  <si>
    <t>Затраты на эксплуатацию (использование) недвижимого имущества, особо ценного ДИ</t>
  </si>
  <si>
    <t>Итого:</t>
  </si>
  <si>
    <t>Затраты на одного учащегося:</t>
  </si>
  <si>
    <t>МБОУ СОШ 1</t>
  </si>
  <si>
    <t>МБОУ СОШ 2</t>
  </si>
  <si>
    <t>МБОУ Гимназия</t>
  </si>
  <si>
    <t>МБОУ СОШ Н</t>
  </si>
  <si>
    <t>МБОУ СОШ В</t>
  </si>
  <si>
    <t>Размер нормативных затрат  по учреждениям МБОУ на 2017 год</t>
  </si>
  <si>
    <t>Размер нормативных затрат  по учреждениям МБДОУ на 2017 год</t>
  </si>
  <si>
    <t>МБДОУ №1</t>
  </si>
  <si>
    <t>МБДОУ №2</t>
  </si>
  <si>
    <t>МБДОУ №7</t>
  </si>
  <si>
    <t>МБДОУ №9</t>
  </si>
  <si>
    <t>МБДОУ №11</t>
  </si>
  <si>
    <t>Размер нормативных затрат  по учреждениям МБОУ ДО на 2017 год</t>
  </si>
  <si>
    <t>МБОУ ДО ДШИ</t>
  </si>
  <si>
    <t>МБОУ ДО ЦТ и В</t>
  </si>
  <si>
    <t>МБОУ ДО ДЮСШ</t>
  </si>
  <si>
    <t>Затраты на  ч/час</t>
  </si>
  <si>
    <t>Затраты на 1 обучающегося</t>
  </si>
  <si>
    <t>Размер нормативных затрат  по учреждениям МБУК  на 2017 год</t>
  </si>
  <si>
    <t>МБУК РЦД</t>
  </si>
  <si>
    <t>МБУК СДК с.Вал</t>
  </si>
  <si>
    <t>МБУК СДК с.Ныш</t>
  </si>
  <si>
    <t>МБУК РЦ библиотека</t>
  </si>
  <si>
    <t>МБУК краеведческий музей</t>
  </si>
  <si>
    <t>Затраты на одного участника творческого коллектива:</t>
  </si>
  <si>
    <t>Затраты на одно посещение библиотеки</t>
  </si>
  <si>
    <t>Затраты на одного посетителя выставок</t>
  </si>
  <si>
    <t>рублей</t>
  </si>
  <si>
    <t>приложение 1</t>
  </si>
  <si>
    <t>приложение 2</t>
  </si>
  <si>
    <t>приложение 3</t>
  </si>
  <si>
    <t>приложение 4</t>
  </si>
  <si>
    <t>2018 год</t>
  </si>
  <si>
    <t>с учетом анализа за 2017 год</t>
  </si>
  <si>
    <t>с учетом анализа  за 2017 год</t>
  </si>
  <si>
    <t>14.</t>
  </si>
  <si>
    <t>Расходы по доп.образ.</t>
  </si>
  <si>
    <t>Дополнительное питание в школах, дошк.группах</t>
  </si>
  <si>
    <t>Всего расходов за 2018 год</t>
  </si>
  <si>
    <t>Размер нормативных затрат  по учреждениям МБОУ на 2018 год</t>
  </si>
  <si>
    <t>Размер нормативных затрат  по учреждениям МБДОУ на 2018год</t>
  </si>
  <si>
    <t>Размер нормативных затрат  по учреждениям МБОУ ДО на 2018 год</t>
  </si>
  <si>
    <t>норматив на участника творческого кол-ва   270</t>
  </si>
  <si>
    <t>кол-во объектов культурного наследия  9836</t>
  </si>
  <si>
    <t>Размер нормативных затрат  по учреждениям МБУК  на 2018 год</t>
  </si>
  <si>
    <t>Затраты на сохранение одного объекта культурного наследия</t>
  </si>
  <si>
    <t>Приложение №1</t>
  </si>
  <si>
    <t>к приказу МКУ УСП администрации</t>
  </si>
  <si>
    <t>МО "Городской округ Ногликский"</t>
  </si>
  <si>
    <t>от 10 января 2018 №4</t>
  </si>
  <si>
    <t>Приложение №2</t>
  </si>
  <si>
    <t>Приложение №3</t>
  </si>
  <si>
    <t>Приложение №4</t>
  </si>
  <si>
    <t>Изменение  нормативных затрат по учреждениями с изменениями на 01.09.2018г</t>
  </si>
  <si>
    <t>к приказу Департамента социальной политики администрации</t>
  </si>
  <si>
    <t>от 03 сентября 2018 №</t>
  </si>
  <si>
    <t>от 03 сентября 2018 №430</t>
  </si>
  <si>
    <t>в т.ч.д/гр.</t>
  </si>
  <si>
    <t>школа</t>
  </si>
  <si>
    <t>Итого:  дошк.гр.</t>
  </si>
  <si>
    <t>Итого:  школы</t>
  </si>
  <si>
    <t>начальное</t>
  </si>
  <si>
    <t>основное общее</t>
  </si>
  <si>
    <t>основное с дистан.</t>
  </si>
  <si>
    <t>среднее</t>
  </si>
  <si>
    <t xml:space="preserve">среднее с дистанц. </t>
  </si>
  <si>
    <t>заочное</t>
  </si>
  <si>
    <t>разбивка нормативных затрат по услугам 2018 год</t>
  </si>
  <si>
    <t>Изменение  нормативных затрат по учреждениями с изменениями на 31.12.2018г</t>
  </si>
  <si>
    <t>от28 декабря 2018  №668</t>
  </si>
  <si>
    <t>2019 год</t>
  </si>
  <si>
    <t>Размер нормативных затрат  по учреждениям МБДОУ на 2019год</t>
  </si>
  <si>
    <t xml:space="preserve">Реализация основных общеобразовательных услуг программ дошкольного образования в возрасте от 1 года  до  3 лет </t>
  </si>
  <si>
    <t>1.Нормативные затраты на оказание муниципальной услуги</t>
  </si>
  <si>
    <t xml:space="preserve">   1.1. Затраты на оплату труда и начисления на выплаты по оплате труда основного персонала</t>
  </si>
  <si>
    <t xml:space="preserve">   1.2. Затраты на приобретение материальных запасов  в т.ч.:</t>
  </si>
  <si>
    <t>приобретение мебели, музыкальных инструментов, методической литературы, игр, игрушек, спортивного инвентаря  для организации учебно-образовательного процесса.</t>
  </si>
  <si>
    <t xml:space="preserve">    1.3.  Иные  затраты</t>
  </si>
  <si>
    <t xml:space="preserve">     2.  Затраты на общехозяйственные нужды</t>
  </si>
  <si>
    <t xml:space="preserve">    2.1. Затраты на оплату труда и начисления на выплаты по оплате труда административно-управленческого, обслуживающего и прочего персонала</t>
  </si>
  <si>
    <t xml:space="preserve">    2.2 Коммунальные  услуги, в том числе:</t>
  </si>
  <si>
    <t xml:space="preserve">    2.3 Затраты на приобретение услуг связи</t>
  </si>
  <si>
    <t xml:space="preserve">    2.4 Затраты на приобретение транспортных услуг</t>
  </si>
  <si>
    <t xml:space="preserve">    2.5. Затраты на эксплуатацию (использование) недвижимого имущества, особо ценного движимого имущества</t>
  </si>
  <si>
    <t xml:space="preserve">услуги охраны, стирка, противопожарные мероприятия, медосмотры,оценка условий труда, госпошлины, налоги, нотариальные услуги, хозяйственные и канцелярские товары, стройматериалы, приобретение и сопровождение программного обеспечения для организации деятельности работников,  приобретение множительной техники, канцелярских принадлежностей, картриджей, принтеров и множительной техники, спец. одежды, кухонного бытового оборудования, используемых для организации деятельности работников. </t>
  </si>
  <si>
    <t xml:space="preserve">    2.6. Иные  затраты  в т.ч.:</t>
  </si>
  <si>
    <t>в т.ч.:тех.обслуживание счетчиков, сан.очистка и вывоз мусора, дезинсекция, диагностика систем вентиляции и др.</t>
  </si>
  <si>
    <t xml:space="preserve">Реализация основных общеобразовательных услуг программ дошкольного образования в возрасте от 3 лет   до  8 лет </t>
  </si>
  <si>
    <t>Всего расходов по услугам на 2019 год</t>
  </si>
  <si>
    <t xml:space="preserve">Затраты на одного учащегося:   </t>
  </si>
  <si>
    <t xml:space="preserve">Затраты на одного учащегося:     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</si>
  <si>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</si>
  <si>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</si>
  <si>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основного общего образования с применением дистанционных технологий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</si>
  <si>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</si>
  <si>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среднего общего образования   заочные классы</t>
  </si>
  <si>
    <t>Реализация дополнительных общеобразвивающих программ</t>
  </si>
  <si>
    <t>Организация отдыха детей и молодежи</t>
  </si>
  <si>
    <t>Летний отдых по пр.м/о</t>
  </si>
  <si>
    <t>15.</t>
  </si>
  <si>
    <t>Л/отдых МБ</t>
  </si>
  <si>
    <t>16.</t>
  </si>
  <si>
    <t>Пр. спорт</t>
  </si>
  <si>
    <t>Летний отдых</t>
  </si>
  <si>
    <t>Реализация дополнительных общеразвивающих программ</t>
  </si>
  <si>
    <t>Реализация дополнительных общеобразовательных предпофессиональных програм  в области искусств -хоровое пение</t>
  </si>
  <si>
    <t>Реализация дополнительных общеобразовательных предпофессиональных програм  в области искусств -декоративно-прикладное творчество</t>
  </si>
  <si>
    <t>Реализация дополнительных общеобразовательных предпофессиональных програм  в области искусств -музыкальный фольклор</t>
  </si>
  <si>
    <t>Реализация дополнительных общеобразовательных предпофессиональных програм  в области искусств -фортепиано</t>
  </si>
  <si>
    <t>Всего расходов за 2019 год</t>
  </si>
  <si>
    <t>Затраты на эксплуатацию (использование) недвижимого имущества, особо ценного ДИ:в т.ч.:тех.обслуживание счетчиков, сан.очистка и вывоз мусора, дезинсекция, диагностика систем вентиляции и др.</t>
  </si>
  <si>
    <t>Иные  затраты:  услуги охраны, стирка, противопожарные мероприятия, медосмотры,оценка условий труда, госпошлины, налоги, нотариальные услуги, хозяйственные и канцелярские товары, стройматериалы, приобретение и сопровождение программного обеспечения для организации деятельности работников,  приобретение множительной техники, канцелярских принадлежностей, картриджей, принтеров и множительной техники, спец. одежды, кухонного бытового оборудования, используемых для организации деятельности работников.</t>
  </si>
  <si>
    <t>Затраты на приобретение материальных запасов в том числе: приобретение мебели, музыкальных инструментов, методической литературы,  спортивного инвентаря  для организации учебно-образовательного процесса.</t>
  </si>
  <si>
    <t>Иные  затраты:  услуги охраны,  противопожарные мероприятия, медосмотры,оценка условий труда, госпошлины, налоги, нотариальные услуги, хозяйственные и канцелярские товары, стройматериалы, приобретение и сопровождение программного обеспечения для организации деятельности работников,  приобретение множительной техники, канцелярских принадлежностей, картриджей, принтеров и множительной техники, спец. одежды, кухонного бытового оборудования, используемых для организации деятельности работников.</t>
  </si>
  <si>
    <t>Иные  затраты:  услуги охраны,противопожарные мероприятия, медосмотры,оценка условий труда, госпошлины, налоги, нотариальные услуги, хозяйственные и канцелярские товары, стройматериалы, приобретение и сопровождение программного обеспечения для организации деятельности работников,  приобретение множительной техники, канцелярских принадлежностей, картриджей, принтеров и множительной техники, спец. одежды, кухонного бытового оборудования, используемых для организации деятельности работников.</t>
  </si>
  <si>
    <t>Иные  затраты:  услуги охраны, противопожарные мероприятия, медосмотры,оценка условий труда, госпошлины, налоги, нотариальные услуги, хозяйственные и канцелярские товары, стройматериалы, приобретение и сопровождение программного обеспечения для организации деятельности работников,  приобретение множительной техники, канцелярских принадлежностей, картриджей, принтеров и множительной техники, спец. одежды, кухонного бытового оборудования, используемых для организации деятельности работников.</t>
  </si>
  <si>
    <t>Организация деятельности клубных формирований и формирований самодеятельного народного творчества</t>
  </si>
  <si>
    <t>МБУК Ногликская централизованная библиотечная система</t>
  </si>
  <si>
    <t>Библиотечное, библиографическое и информационное обслуживание пользователей библиотеки</t>
  </si>
  <si>
    <t>МБУК Ногликский муниципальный краеведческий музей</t>
  </si>
  <si>
    <t>Обеспечение сохранения и использования объектов культурного наследия</t>
  </si>
  <si>
    <t>Приложение № 19</t>
  </si>
  <si>
    <t>Размер нормативных затрат  по учреждениям МБОУ на 2022 год</t>
  </si>
  <si>
    <t>транспортные услуги</t>
  </si>
  <si>
    <t>норматив на участника творческого кол-ва   338</t>
  </si>
  <si>
    <t>Расчет нормативных затрат по учреждениям на 2023 год.</t>
  </si>
  <si>
    <t>Размер нормативных затрат  по учреждениям МБДОУ на 2023год</t>
  </si>
  <si>
    <t>Всего расходов по услугам на 2023 год</t>
  </si>
  <si>
    <t>Нормативные затраты на оказание муниципальной услуги   2023 год</t>
  </si>
  <si>
    <t>Нормативные затраты на оказание муниципальной услуги  2023</t>
  </si>
  <si>
    <t>Размер нормативных затрат  по учреждениям МБОУ на 2023 год</t>
  </si>
  <si>
    <t>МБУК РЦБ</t>
  </si>
  <si>
    <t>МБУК музей</t>
  </si>
  <si>
    <t>Организация и проведение мероприятий</t>
  </si>
  <si>
    <t>Размер нормативных затрат  по учреждениям МБУК  на 2023 год</t>
  </si>
  <si>
    <t>Транспортные расходы</t>
  </si>
  <si>
    <t>Реализация основных общеобразовательных программ начального общего образования с дистанционным обучением</t>
  </si>
  <si>
    <t>Расчет  нормативных затрат по учреждениям  на  2023г</t>
  </si>
  <si>
    <t>МБУ ДО ЦТ и В</t>
  </si>
  <si>
    <t>МБУ ДО ДШИ</t>
  </si>
  <si>
    <t>Всего по дополнительному образованию без летнего отдыха</t>
  </si>
  <si>
    <t>Методическое обеспечение образователной деятельности</t>
  </si>
  <si>
    <t>Нормативные затраты на оказание муниципальной работы  2023</t>
  </si>
  <si>
    <t>ВСЕГО РАСХОДОВ</t>
  </si>
  <si>
    <t>Всего расходов за 2023 год</t>
  </si>
  <si>
    <t xml:space="preserve">Всего расходов </t>
  </si>
  <si>
    <t>Спортивная подготовка по неолимпийским видам спорта  Самбо  Тренировочный этап</t>
  </si>
  <si>
    <t>МБУ СШ</t>
  </si>
  <si>
    <t>Услуга  № 3</t>
  </si>
  <si>
    <t>Услуга № 5</t>
  </si>
  <si>
    <t>Услуга № 6</t>
  </si>
  <si>
    <t>Услуга № 7</t>
  </si>
  <si>
    <t>Услуга № 8</t>
  </si>
  <si>
    <t>Услуга № 9</t>
  </si>
  <si>
    <t>Услуга № 1</t>
  </si>
  <si>
    <t>Услуга  №4</t>
  </si>
  <si>
    <t>Услуга № 14</t>
  </si>
  <si>
    <t>Услуга № 2</t>
  </si>
  <si>
    <t>Услуга № 16</t>
  </si>
  <si>
    <t>Услуга № 18</t>
  </si>
  <si>
    <t>Реализация дополнительных общеобразовательных предпофессиональных програм  в области искусств -искусство театра</t>
  </si>
  <si>
    <t>Услуга № 11</t>
  </si>
  <si>
    <t>Услуга № 40</t>
  </si>
  <si>
    <t>Услуга № 42</t>
  </si>
  <si>
    <t>Услуга № 17</t>
  </si>
  <si>
    <t>Услуга № 15</t>
  </si>
  <si>
    <t>Услуга № 10</t>
  </si>
  <si>
    <t>Услуга № 12</t>
  </si>
  <si>
    <t>Услуга №13</t>
  </si>
  <si>
    <t xml:space="preserve"> </t>
  </si>
  <si>
    <t xml:space="preserve">Затраты на 1 обучающегося    </t>
  </si>
  <si>
    <t>Спортивная подготовка по неолимпийским видам спорта  Самбо  Этап Начальный подготовки</t>
  </si>
  <si>
    <t>Спортивная подготовка по олимпийским видам спорта Волейбол Этап начальный подготовки</t>
  </si>
  <si>
    <t>Спортивная подготовка по олимпийским видам спорта Дзюдо Этап начальный подготовки</t>
  </si>
  <si>
    <t xml:space="preserve">Спортивная подготовка по олимпийским видам спорта Дзюдо Тренировочный Этап </t>
  </si>
  <si>
    <t>Спортивная подготовка по олимпийским видам спорта Лыжные гонки Этап начальный подготовки</t>
  </si>
  <si>
    <t>Спортивная подготовка по олимпийским видам спорта Лыжные гонки  Тренировочный этап</t>
  </si>
  <si>
    <t>Спортивная подготовка по олимпийским видам спорта Плавание Этап начальный подготовки</t>
  </si>
  <si>
    <t xml:space="preserve">Спортивная подготовка по олимпийским видам спорта Плавание Тренировочный этап </t>
  </si>
  <si>
    <t>Спортивная подготовка по олимпийским видам спорта Спортивная борьба Этап начальный подготовки</t>
  </si>
  <si>
    <t>Спортивная подготовка по олимпийским видам спорта Футбол Этап начальный подготовки</t>
  </si>
  <si>
    <t xml:space="preserve">Спортивная подготовка по олимпийским видам спорта Футбол  Тренировочный этап </t>
  </si>
  <si>
    <t>Спортивная подготовка по олимпийским видам спорта Хоккей Этап начальный подготовки</t>
  </si>
  <si>
    <t xml:space="preserve">Спортивная подготовка по олимпийским видам спорта Хоккей  Тренировочный этап 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</si>
  <si>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</si>
  <si>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>кол-во объектов культурного наследия  10341</t>
  </si>
  <si>
    <t>Услуга № 28</t>
  </si>
  <si>
    <t>Услуга № 19</t>
  </si>
  <si>
    <t>Услуга № 41</t>
  </si>
  <si>
    <t>Услуга № 20</t>
  </si>
  <si>
    <t>Услуга № 22</t>
  </si>
  <si>
    <t>Услуга № 21</t>
  </si>
  <si>
    <t>Услуга № 23</t>
  </si>
  <si>
    <t>Услуга № 24</t>
  </si>
  <si>
    <t>Услуга № 26</t>
  </si>
  <si>
    <t>Услуга № 27</t>
  </si>
  <si>
    <t>Услуга № 29</t>
  </si>
  <si>
    <t>Услуга № 30</t>
  </si>
  <si>
    <t>Услуга № 31</t>
  </si>
  <si>
    <t>Услуга № 32</t>
  </si>
  <si>
    <t>Услуга № 33</t>
  </si>
  <si>
    <t>Услуга № 34</t>
  </si>
  <si>
    <t>Спортивная подготовка по олимпийским видам спорта Лыжные гонки  этап высшего мастерства</t>
  </si>
  <si>
    <t>Услуга № 25</t>
  </si>
  <si>
    <t>Услуга № 39</t>
  </si>
  <si>
    <t>Нормативные затраты на оказание муниципальной услуги   2023, 2024, 2025 годы</t>
  </si>
  <si>
    <r>
      <t xml:space="preserve">МБУ СШ  </t>
    </r>
    <r>
      <rPr>
        <b/>
        <sz val="13"/>
        <color theme="1"/>
        <rFont val="Times New Roman"/>
        <family val="1"/>
        <charset val="204"/>
      </rPr>
      <t>2023</t>
    </r>
  </si>
  <si>
    <r>
      <t xml:space="preserve">МБУ СШ   </t>
    </r>
    <r>
      <rPr>
        <b/>
        <sz val="13"/>
        <color theme="1"/>
        <rFont val="Times New Roman"/>
        <family val="1"/>
        <charset val="204"/>
      </rPr>
      <t>2023</t>
    </r>
  </si>
  <si>
    <r>
      <t xml:space="preserve">МБУ СШ  </t>
    </r>
    <r>
      <rPr>
        <b/>
        <sz val="13"/>
        <color theme="1"/>
        <rFont val="Times New Roman"/>
        <family val="1"/>
        <charset val="204"/>
      </rPr>
      <t xml:space="preserve"> 2023</t>
    </r>
  </si>
  <si>
    <r>
      <t xml:space="preserve">МБУ СШ    </t>
    </r>
    <r>
      <rPr>
        <b/>
        <sz val="13"/>
        <color theme="1"/>
        <rFont val="Times New Roman"/>
        <family val="1"/>
        <charset val="204"/>
      </rPr>
      <t>2023</t>
    </r>
  </si>
  <si>
    <t xml:space="preserve">Спортивная подготовка по олимпийским видам спорта Спортивная борьба Тренировочный этап </t>
  </si>
  <si>
    <t>Обеспечение участия лиц, прошедших спортивную подготовку в спортивных соревнованиях Муниципальные</t>
  </si>
  <si>
    <t>Услуга № 35</t>
  </si>
  <si>
    <t xml:space="preserve">Затраты на 1 мероприятие   </t>
  </si>
  <si>
    <t>Обеспечение участия лиц, прошедших спортивную подготовку в спортивных соревнованиях Межмуниципальные</t>
  </si>
  <si>
    <t>Услуга № 36</t>
  </si>
  <si>
    <t>Обеспечение участия лиц, прошедших спортивную подготовку в спортивных соревнованиях Региональные</t>
  </si>
  <si>
    <t>Услуга № 37</t>
  </si>
  <si>
    <t>Обеспечение участия лиц, прошедших спортивную подготовку в спортивных соревнованиях  Межрегиональные</t>
  </si>
  <si>
    <t>Услуга № 38</t>
  </si>
  <si>
    <t xml:space="preserve">                                                                                                                            </t>
  </si>
  <si>
    <t xml:space="preserve">                        </t>
  </si>
  <si>
    <t>Спортивная подготовка по олимпийским видам спорта Северное многоборье Этап начальный подготовки</t>
  </si>
  <si>
    <t>Спортивная подготовка по олимпийским видам спорта Пулевая стрельба Этап начальный подготовки</t>
  </si>
  <si>
    <t>Реализация дополнительных общеобразовательных предпофессиональных програм  в области искусств духовые  и ударные инструменты</t>
  </si>
  <si>
    <t>Приложение № 2 к приказу от 26.12.2022 № 812</t>
  </si>
  <si>
    <t>Услуга № 44</t>
  </si>
  <si>
    <t>Услуга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</si>
</sst>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3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1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2" fontId="0" fillId="0" borderId="1" xfId="0" applyNumberFormat="1" applyBorder="1"/>
    <xf numFmtId="164" fontId="0" fillId="0" borderId="1" xfId="0" applyNumberFormat="1" applyBorder="1"/>
    <xf numFmtId="0" fontId="4" fillId="0" borderId="5" xfId="0" applyFont="1" applyBorder="1"/>
    <xf numFmtId="2" fontId="0" fillId="0" borderId="0" xfId="0" applyNumberFormat="1"/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0" xfId="0" applyFont="1"/>
    <xf numFmtId="2" fontId="4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2" fontId="4" fillId="2" borderId="1" xfId="0" applyNumberFormat="1" applyFont="1" applyFill="1" applyBorder="1"/>
    <xf numFmtId="0" fontId="0" fillId="2" borderId="0" xfId="0" applyFill="1"/>
    <xf numFmtId="2" fontId="0" fillId="2" borderId="1" xfId="0" applyNumberFormat="1" applyFill="1" applyBorder="1"/>
    <xf numFmtId="0" fontId="5" fillId="0" borderId="5" xfId="0" applyFont="1" applyBorder="1"/>
    <xf numFmtId="165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165" fontId="4" fillId="0" borderId="1" xfId="0" applyNumberFormat="1" applyFont="1" applyBorder="1"/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2" borderId="1" xfId="0" applyFont="1" applyFill="1" applyBorder="1"/>
    <xf numFmtId="0" fontId="0" fillId="0" borderId="0" xfId="0" applyAlignment="1">
      <alignment horizontal="center" vertical="center" wrapText="1"/>
    </xf>
    <xf numFmtId="165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8" fillId="2" borderId="1" xfId="0" applyFont="1" applyFill="1" applyBorder="1"/>
    <xf numFmtId="0" fontId="8" fillId="2" borderId="5" xfId="0" applyFont="1" applyFill="1" applyBorder="1"/>
    <xf numFmtId="0" fontId="8" fillId="0" borderId="0" xfId="0" applyFont="1"/>
    <xf numFmtId="0" fontId="8" fillId="0" borderId="5" xfId="0" applyFont="1" applyBorder="1"/>
    <xf numFmtId="0" fontId="7" fillId="0" borderId="1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2" xfId="0" applyFont="1" applyBorder="1"/>
    <xf numFmtId="0" fontId="8" fillId="0" borderId="8" xfId="0" applyFont="1" applyBorder="1"/>
    <xf numFmtId="0" fontId="8" fillId="0" borderId="1" xfId="0" applyFont="1" applyBorder="1" applyAlignment="1">
      <alignment horizontal="left"/>
    </xf>
    <xf numFmtId="0" fontId="8" fillId="0" borderId="5" xfId="0" applyFont="1" applyBorder="1" applyAlignment="1">
      <alignment horizontal="right"/>
    </xf>
    <xf numFmtId="0" fontId="8" fillId="0" borderId="2" xfId="0" applyFont="1" applyBorder="1" applyAlignment="1">
      <alignment horizontal="right"/>
    </xf>
    <xf numFmtId="0" fontId="8" fillId="0" borderId="2" xfId="0" applyFont="1" applyBorder="1" applyAlignment="1">
      <alignment horizontal="left"/>
    </xf>
    <xf numFmtId="0" fontId="8" fillId="4" borderId="1" xfId="0" applyFont="1" applyFill="1" applyBorder="1"/>
    <xf numFmtId="0" fontId="8" fillId="0" borderId="13" xfId="0" applyFont="1" applyBorder="1"/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2" fontId="7" fillId="0" borderId="1" xfId="0" applyNumberFormat="1" applyFont="1" applyBorder="1" applyAlignment="1">
      <alignment horizontal="right"/>
    </xf>
    <xf numFmtId="2" fontId="7" fillId="0" borderId="1" xfId="0" applyNumberFormat="1" applyFont="1" applyBorder="1"/>
    <xf numFmtId="165" fontId="7" fillId="0" borderId="1" xfId="0" applyNumberFormat="1" applyFont="1" applyBorder="1"/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/>
    <xf numFmtId="2" fontId="7" fillId="3" borderId="1" xfId="0" applyNumberFormat="1" applyFont="1" applyFill="1" applyBorder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/>
    <xf numFmtId="2" fontId="7" fillId="0" borderId="2" xfId="0" applyNumberFormat="1" applyFont="1" applyBorder="1"/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/>
    <xf numFmtId="2" fontId="7" fillId="4" borderId="1" xfId="0" applyNumberFormat="1" applyFont="1" applyFill="1" applyBorder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2" fontId="8" fillId="2" borderId="1" xfId="0" applyNumberFormat="1" applyFont="1" applyFill="1" applyBorder="1"/>
    <xf numFmtId="2" fontId="8" fillId="0" borderId="1" xfId="0" applyNumberFormat="1" applyFont="1" applyBorder="1"/>
    <xf numFmtId="0" fontId="8" fillId="0" borderId="3" xfId="0" applyFont="1" applyBorder="1"/>
    <xf numFmtId="2" fontId="8" fillId="0" borderId="0" xfId="0" applyNumberFormat="1" applyFont="1"/>
    <xf numFmtId="4" fontId="8" fillId="0" borderId="1" xfId="0" applyNumberFormat="1" applyFont="1" applyBorder="1"/>
    <xf numFmtId="2" fontId="8" fillId="2" borderId="2" xfId="0" applyNumberFormat="1" applyFont="1" applyFill="1" applyBorder="1"/>
    <xf numFmtId="2" fontId="8" fillId="0" borderId="2" xfId="0" applyNumberFormat="1" applyFont="1" applyBorder="1"/>
    <xf numFmtId="2" fontId="8" fillId="3" borderId="1" xfId="0" applyNumberFormat="1" applyFont="1" applyFill="1" applyBorder="1"/>
    <xf numFmtId="0" fontId="8" fillId="3" borderId="1" xfId="0" applyFont="1" applyFill="1" applyBorder="1"/>
    <xf numFmtId="0" fontId="8" fillId="4" borderId="1" xfId="0" applyFont="1" applyFill="1" applyBorder="1" applyAlignment="1">
      <alignment horizontal="right"/>
    </xf>
    <xf numFmtId="2" fontId="8" fillId="4" borderId="1" xfId="0" applyNumberFormat="1" applyFont="1" applyFill="1" applyBorder="1"/>
    <xf numFmtId="0" fontId="7" fillId="0" borderId="3" xfId="0" applyFont="1" applyBorder="1"/>
    <xf numFmtId="2" fontId="7" fillId="0" borderId="0" xfId="0" applyNumberFormat="1" applyFont="1"/>
    <xf numFmtId="0" fontId="7" fillId="0" borderId="2" xfId="0" applyFont="1" applyBorder="1" applyAlignment="1">
      <alignment horizontal="center"/>
    </xf>
    <xf numFmtId="2" fontId="7" fillId="3" borderId="2" xfId="0" applyNumberFormat="1" applyFont="1" applyFill="1" applyBorder="1"/>
    <xf numFmtId="0" fontId="7" fillId="3" borderId="0" xfId="0" applyFont="1" applyFill="1"/>
    <xf numFmtId="0" fontId="7" fillId="3" borderId="2" xfId="0" applyFont="1" applyFill="1" applyBorder="1"/>
    <xf numFmtId="0" fontId="7" fillId="4" borderId="1" xfId="0" applyFont="1" applyFill="1" applyBorder="1" applyAlignment="1">
      <alignment horizontal="right"/>
    </xf>
    <xf numFmtId="0" fontId="8" fillId="0" borderId="1" xfId="0" applyFont="1" applyBorder="1" applyAlignment="1">
      <alignment horizontal="right" wrapText="1"/>
    </xf>
    <xf numFmtId="0" fontId="8" fillId="0" borderId="2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65" fontId="4" fillId="0" borderId="0" xfId="0" applyNumberFormat="1" applyFont="1"/>
    <xf numFmtId="0" fontId="4" fillId="5" borderId="1" xfId="0" applyFont="1" applyFill="1" applyBorder="1"/>
    <xf numFmtId="0" fontId="4" fillId="2" borderId="5" xfId="0" applyFont="1" applyFill="1" applyBorder="1"/>
    <xf numFmtId="0" fontId="0" fillId="6" borderId="0" xfId="0" applyFill="1"/>
    <xf numFmtId="0" fontId="1" fillId="6" borderId="0" xfId="0" applyFont="1" applyFill="1"/>
    <xf numFmtId="165" fontId="4" fillId="2" borderId="1" xfId="0" applyNumberFormat="1" applyFont="1" applyFill="1" applyBorder="1"/>
    <xf numFmtId="165" fontId="4" fillId="7" borderId="1" xfId="0" applyNumberFormat="1" applyFont="1" applyFill="1" applyBorder="1"/>
    <xf numFmtId="165" fontId="4" fillId="8" borderId="1" xfId="0" applyNumberFormat="1" applyFont="1" applyFill="1" applyBorder="1"/>
    <xf numFmtId="0" fontId="4" fillId="8" borderId="1" xfId="0" applyFont="1" applyFill="1" applyBorder="1"/>
    <xf numFmtId="165" fontId="8" fillId="0" borderId="0" xfId="0" applyNumberFormat="1" applyFont="1"/>
    <xf numFmtId="2" fontId="8" fillId="7" borderId="1" xfId="0" applyNumberFormat="1" applyFont="1" applyFill="1" applyBorder="1"/>
    <xf numFmtId="0" fontId="4" fillId="8" borderId="0" xfId="0" applyFont="1" applyFill="1"/>
    <xf numFmtId="0" fontId="4" fillId="3" borderId="1" xfId="0" applyFont="1" applyFill="1" applyBorder="1"/>
    <xf numFmtId="2" fontId="7" fillId="7" borderId="1" xfId="0" applyNumberFormat="1" applyFont="1" applyFill="1" applyBorder="1"/>
    <xf numFmtId="0" fontId="9" fillId="0" borderId="0" xfId="0" applyFont="1"/>
    <xf numFmtId="0" fontId="7" fillId="0" borderId="3" xfId="0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right"/>
    </xf>
    <xf numFmtId="2" fontId="7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center" wrapText="1"/>
    </xf>
    <xf numFmtId="0" fontId="4" fillId="3" borderId="0" xfId="0" applyFont="1" applyFill="1"/>
    <xf numFmtId="165" fontId="4" fillId="8" borderId="0" xfId="0" applyNumberFormat="1" applyFont="1" applyFill="1"/>
    <xf numFmtId="165" fontId="4" fillId="7" borderId="0" xfId="0" applyNumberFormat="1" applyFont="1" applyFill="1"/>
    <xf numFmtId="0" fontId="0" fillId="2" borderId="1" xfId="0" applyFill="1" applyBorder="1" applyAlignment="1">
      <alignment horizontal="center" wrapText="1"/>
    </xf>
    <xf numFmtId="0" fontId="0" fillId="2" borderId="1" xfId="0" applyFill="1" applyBorder="1"/>
    <xf numFmtId="165" fontId="0" fillId="2" borderId="1" xfId="0" applyNumberFormat="1" applyFill="1" applyBorder="1"/>
    <xf numFmtId="0" fontId="0" fillId="7" borderId="1" xfId="0" applyFill="1" applyBorder="1" applyAlignment="1">
      <alignment horizontal="center" wrapText="1"/>
    </xf>
    <xf numFmtId="0" fontId="0" fillId="7" borderId="1" xfId="0" applyFill="1" applyBorder="1"/>
    <xf numFmtId="165" fontId="0" fillId="7" borderId="1" xfId="0" applyNumberFormat="1" applyFill="1" applyBorder="1"/>
    <xf numFmtId="0" fontId="7" fillId="0" borderId="7" xfId="0" applyFont="1" applyBorder="1" applyAlignment="1">
      <alignment horizontal="center" vertical="center" wrapText="1"/>
    </xf>
    <xf numFmtId="0" fontId="8" fillId="7" borderId="1" xfId="0" applyFont="1" applyFill="1" applyBorder="1"/>
    <xf numFmtId="0" fontId="8" fillId="7" borderId="2" xfId="0" applyFont="1" applyFill="1" applyBorder="1"/>
    <xf numFmtId="0" fontId="8" fillId="7" borderId="1" xfId="0" applyFont="1" applyFill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2" fontId="7" fillId="3" borderId="0" xfId="0" applyNumberFormat="1" applyFont="1" applyFill="1"/>
    <xf numFmtId="0" fontId="8" fillId="3" borderId="0" xfId="0" applyFont="1" applyFill="1"/>
    <xf numFmtId="0" fontId="4" fillId="0" borderId="1" xfId="0" applyFont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7" fillId="2" borderId="1" xfId="0" applyFont="1" applyFill="1" applyBorder="1"/>
    <xf numFmtId="165" fontId="6" fillId="0" borderId="1" xfId="0" applyNumberFormat="1" applyFont="1" applyBorder="1"/>
    <xf numFmtId="165" fontId="0" fillId="0" borderId="4" xfId="0" applyNumberFormat="1" applyBorder="1"/>
    <xf numFmtId="2" fontId="8" fillId="3" borderId="0" xfId="0" applyNumberFormat="1" applyFont="1" applyFill="1"/>
    <xf numFmtId="0" fontId="1" fillId="3" borderId="0" xfId="0" applyFont="1" applyFill="1"/>
    <xf numFmtId="165" fontId="1" fillId="3" borderId="0" xfId="0" applyNumberFormat="1" applyFont="1" applyFill="1"/>
    <xf numFmtId="165" fontId="8" fillId="3" borderId="0" xfId="0" applyNumberFormat="1" applyFont="1" applyFill="1"/>
    <xf numFmtId="165" fontId="4" fillId="2" borderId="2" xfId="0" applyNumberFormat="1" applyFont="1" applyFill="1" applyBorder="1"/>
    <xf numFmtId="0" fontId="4" fillId="2" borderId="2" xfId="0" applyFont="1" applyFill="1" applyBorder="1"/>
    <xf numFmtId="0" fontId="4" fillId="3" borderId="1" xfId="0" applyFont="1" applyFill="1" applyBorder="1" applyAlignment="1">
      <alignment horizontal="left"/>
    </xf>
    <xf numFmtId="165" fontId="4" fillId="3" borderId="1" xfId="0" applyNumberFormat="1" applyFont="1" applyFill="1" applyBorder="1"/>
    <xf numFmtId="2" fontId="1" fillId="0" borderId="0" xfId="0" applyNumberFormat="1" applyFont="1"/>
    <xf numFmtId="165" fontId="4" fillId="5" borderId="1" xfId="0" applyNumberFormat="1" applyFont="1" applyFill="1" applyBorder="1"/>
    <xf numFmtId="0" fontId="0" fillId="3" borderId="0" xfId="0" applyFill="1"/>
    <xf numFmtId="165" fontId="0" fillId="3" borderId="1" xfId="0" applyNumberFormat="1" applyFill="1" applyBorder="1"/>
    <xf numFmtId="0" fontId="0" fillId="3" borderId="1" xfId="0" applyFill="1" applyBorder="1"/>
    <xf numFmtId="0" fontId="1" fillId="3" borderId="1" xfId="0" applyFont="1" applyFill="1" applyBorder="1"/>
    <xf numFmtId="165" fontId="1" fillId="3" borderId="1" xfId="0" applyNumberFormat="1" applyFont="1" applyFill="1" applyBorder="1"/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165" fontId="11" fillId="0" borderId="1" xfId="0" applyNumberFormat="1" applyFont="1" applyBorder="1"/>
    <xf numFmtId="165" fontId="11" fillId="3" borderId="1" xfId="0" applyNumberFormat="1" applyFont="1" applyFill="1" applyBorder="1"/>
    <xf numFmtId="0" fontId="11" fillId="0" borderId="0" xfId="0" applyFont="1"/>
    <xf numFmtId="0" fontId="10" fillId="0" borderId="0" xfId="0" applyFont="1"/>
    <xf numFmtId="0" fontId="11" fillId="3" borderId="2" xfId="0" applyFont="1" applyFill="1" applyBorder="1"/>
    <xf numFmtId="0" fontId="11" fillId="3" borderId="1" xfId="0" applyFont="1" applyFill="1" applyBorder="1"/>
    <xf numFmtId="2" fontId="11" fillId="3" borderId="1" xfId="0" applyNumberFormat="1" applyFont="1" applyFill="1" applyBorder="1"/>
    <xf numFmtId="165" fontId="11" fillId="3" borderId="4" xfId="0" applyNumberFormat="1" applyFont="1" applyFill="1" applyBorder="1"/>
    <xf numFmtId="165" fontId="10" fillId="3" borderId="1" xfId="0" applyNumberFormat="1" applyFont="1" applyFill="1" applyBorder="1"/>
    <xf numFmtId="165" fontId="11" fillId="3" borderId="0" xfId="0" applyNumberFormat="1" applyFont="1" applyFill="1"/>
    <xf numFmtId="165" fontId="11" fillId="3" borderId="5" xfId="0" applyNumberFormat="1" applyFont="1" applyFill="1" applyBorder="1"/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0" fontId="12" fillId="0" borderId="0" xfId="0" applyFont="1"/>
    <xf numFmtId="0" fontId="12" fillId="3" borderId="1" xfId="0" applyFont="1" applyFill="1" applyBorder="1"/>
    <xf numFmtId="0" fontId="11" fillId="0" borderId="1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12" fillId="0" borderId="2" xfId="0" applyFont="1" applyBorder="1" applyAlignment="1">
      <alignment horizontal="center"/>
    </xf>
    <xf numFmtId="0" fontId="12" fillId="0" borderId="2" xfId="0" applyFont="1" applyBorder="1"/>
    <xf numFmtId="0" fontId="12" fillId="0" borderId="1" xfId="0" applyFont="1" applyBorder="1" applyAlignment="1">
      <alignment horizontal="left"/>
    </xf>
    <xf numFmtId="0" fontId="12" fillId="3" borderId="1" xfId="0" applyFont="1" applyFill="1" applyBorder="1" applyAlignment="1">
      <alignment horizontal="right"/>
    </xf>
    <xf numFmtId="0" fontId="12" fillId="0" borderId="2" xfId="0" applyFont="1" applyBorder="1" applyAlignment="1">
      <alignment horizontal="right"/>
    </xf>
    <xf numFmtId="0" fontId="12" fillId="0" borderId="2" xfId="0" applyFont="1" applyBorder="1" applyAlignment="1">
      <alignment horizontal="left"/>
    </xf>
    <xf numFmtId="0" fontId="12" fillId="3" borderId="2" xfId="0" applyFont="1" applyFill="1" applyBorder="1"/>
    <xf numFmtId="0" fontId="11" fillId="3" borderId="6" xfId="0" applyFont="1" applyFill="1" applyBorder="1"/>
    <xf numFmtId="0" fontId="11" fillId="3" borderId="7" xfId="0" applyFont="1" applyFill="1" applyBorder="1"/>
    <xf numFmtId="0" fontId="12" fillId="3" borderId="0" xfId="0" applyFont="1" applyFill="1"/>
    <xf numFmtId="0" fontId="12" fillId="3" borderId="1" xfId="0" applyFont="1" applyFill="1" applyBorder="1" applyAlignment="1">
      <alignment horizontal="left"/>
    </xf>
    <xf numFmtId="0" fontId="13" fillId="3" borderId="1" xfId="0" applyFont="1" applyFill="1" applyBorder="1"/>
    <xf numFmtId="2" fontId="12" fillId="3" borderId="1" xfId="0" applyNumberFormat="1" applyFont="1" applyFill="1" applyBorder="1"/>
    <xf numFmtId="2" fontId="11" fillId="0" borderId="1" xfId="0" applyNumberFormat="1" applyFont="1" applyBorder="1"/>
    <xf numFmtId="0" fontId="11" fillId="3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/>
    </xf>
    <xf numFmtId="0" fontId="10" fillId="3" borderId="1" xfId="0" applyFont="1" applyFill="1" applyBorder="1"/>
    <xf numFmtId="2" fontId="10" fillId="3" borderId="1" xfId="0" applyNumberFormat="1" applyFont="1" applyFill="1" applyBorder="1"/>
    <xf numFmtId="165" fontId="10" fillId="3" borderId="5" xfId="0" applyNumberFormat="1" applyFont="1" applyFill="1" applyBorder="1"/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right"/>
    </xf>
    <xf numFmtId="165" fontId="11" fillId="0" borderId="0" xfId="0" applyNumberFormat="1" applyFont="1"/>
    <xf numFmtId="2" fontId="11" fillId="0" borderId="0" xfId="0" applyNumberFormat="1" applyFont="1"/>
    <xf numFmtId="0" fontId="11" fillId="3" borderId="0" xfId="0" applyFont="1" applyFill="1"/>
    <xf numFmtId="2" fontId="11" fillId="3" borderId="0" xfId="0" applyNumberFormat="1" applyFont="1" applyFill="1"/>
    <xf numFmtId="0" fontId="11" fillId="3" borderId="1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right"/>
    </xf>
    <xf numFmtId="0" fontId="11" fillId="3" borderId="2" xfId="0" applyFont="1" applyFill="1" applyBorder="1" applyAlignment="1">
      <alignment horizontal="center" vertical="center"/>
    </xf>
    <xf numFmtId="2" fontId="11" fillId="3" borderId="2" xfId="0" applyNumberFormat="1" applyFont="1" applyFill="1" applyBorder="1"/>
    <xf numFmtId="0" fontId="11" fillId="3" borderId="0" xfId="0" applyFont="1" applyFill="1" applyAlignment="1">
      <alignment horizontal="right"/>
    </xf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center" vertical="center"/>
    </xf>
    <xf numFmtId="0" fontId="10" fillId="3" borderId="0" xfId="0" applyFont="1" applyFill="1"/>
    <xf numFmtId="165" fontId="10" fillId="3" borderId="0" xfId="0" applyNumberFormat="1" applyFont="1" applyFill="1"/>
    <xf numFmtId="2" fontId="10" fillId="3" borderId="0" xfId="0" applyNumberFormat="1" applyFont="1" applyFill="1"/>
    <xf numFmtId="166" fontId="10" fillId="3" borderId="1" xfId="0" applyNumberFormat="1" applyFont="1" applyFill="1" applyBorder="1"/>
    <xf numFmtId="0" fontId="10" fillId="3" borderId="1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0" fontId="11" fillId="3" borderId="3" xfId="0" applyFont="1" applyFill="1" applyBorder="1"/>
    <xf numFmtId="0" fontId="10" fillId="3" borderId="1" xfId="0" applyFont="1" applyFill="1" applyBorder="1" applyAlignment="1">
      <alignment horizontal="right"/>
    </xf>
    <xf numFmtId="0" fontId="11" fillId="0" borderId="0" xfId="0" applyFont="1" applyAlignment="1">
      <alignment horizontal="left"/>
    </xf>
    <xf numFmtId="2" fontId="11" fillId="3" borderId="5" xfId="0" applyNumberFormat="1" applyFont="1" applyFill="1" applyBorder="1"/>
    <xf numFmtId="0" fontId="11" fillId="3" borderId="11" xfId="0" applyFont="1" applyFill="1" applyBorder="1"/>
    <xf numFmtId="0" fontId="11" fillId="3" borderId="2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 wrapText="1"/>
    </xf>
    <xf numFmtId="0" fontId="11" fillId="3" borderId="11" xfId="0" applyFont="1" applyFill="1" applyBorder="1" applyAlignment="1">
      <alignment horizontal="center"/>
    </xf>
    <xf numFmtId="0" fontId="11" fillId="3" borderId="13" xfId="0" applyFont="1" applyFill="1" applyBorder="1"/>
    <xf numFmtId="0" fontId="11" fillId="3" borderId="5" xfId="0" applyFont="1" applyFill="1" applyBorder="1"/>
    <xf numFmtId="2" fontId="11" fillId="3" borderId="6" xfId="0" applyNumberFormat="1" applyFont="1" applyFill="1" applyBorder="1"/>
    <xf numFmtId="0" fontId="11" fillId="3" borderId="14" xfId="0" applyFont="1" applyFill="1" applyBorder="1"/>
    <xf numFmtId="2" fontId="11" fillId="3" borderId="4" xfId="0" applyNumberFormat="1" applyFont="1" applyFill="1" applyBorder="1"/>
    <xf numFmtId="0" fontId="12" fillId="3" borderId="2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" fontId="10" fillId="3" borderId="1" xfId="0" applyNumberFormat="1" applyFont="1" applyFill="1" applyBorder="1"/>
    <xf numFmtId="166" fontId="1" fillId="3" borderId="1" xfId="0" applyNumberFormat="1" applyFont="1" applyFill="1" applyBorder="1"/>
    <xf numFmtId="4" fontId="13" fillId="3" borderId="1" xfId="0" applyNumberFormat="1" applyFont="1" applyFill="1" applyBorder="1"/>
    <xf numFmtId="4" fontId="11" fillId="3" borderId="1" xfId="0" applyNumberFormat="1" applyFont="1" applyFill="1" applyBorder="1"/>
    <xf numFmtId="4" fontId="11" fillId="3" borderId="2" xfId="0" applyNumberFormat="1" applyFont="1" applyFill="1" applyBorder="1"/>
    <xf numFmtId="4" fontId="0" fillId="0" borderId="0" xfId="0" applyNumberFormat="1"/>
    <xf numFmtId="4" fontId="11" fillId="0" borderId="1" xfId="0" applyNumberFormat="1" applyFont="1" applyBorder="1"/>
    <xf numFmtId="4" fontId="10" fillId="3" borderId="0" xfId="0" applyNumberFormat="1" applyFont="1" applyFill="1"/>
    <xf numFmtId="4" fontId="11" fillId="3" borderId="0" xfId="0" applyNumberFormat="1" applyFont="1" applyFill="1"/>
    <xf numFmtId="4" fontId="10" fillId="3" borderId="5" xfId="0" applyNumberFormat="1" applyFont="1" applyFill="1" applyBorder="1"/>
    <xf numFmtId="0" fontId="11" fillId="3" borderId="0" xfId="0" applyFont="1" applyFill="1" applyAlignment="1">
      <alignment wrapText="1"/>
    </xf>
    <xf numFmtId="4" fontId="11" fillId="3" borderId="5" xfId="0" applyNumberFormat="1" applyFont="1" applyFill="1" applyBorder="1"/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8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7" fillId="3" borderId="5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7" fillId="3" borderId="8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4" borderId="5" xfId="0" applyFont="1" applyFill="1" applyBorder="1" applyAlignment="1">
      <alignment horizontal="left"/>
    </xf>
    <xf numFmtId="0" fontId="8" fillId="4" borderId="6" xfId="0" applyFont="1" applyFill="1" applyBorder="1" applyAlignment="1">
      <alignment horizontal="left"/>
    </xf>
    <xf numFmtId="0" fontId="8" fillId="4" borderId="7" xfId="0" applyFont="1" applyFill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0" borderId="8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2" fontId="7" fillId="0" borderId="2" xfId="0" applyNumberFormat="1" applyFont="1" applyBorder="1" applyAlignment="1">
      <alignment horizontal="right"/>
    </xf>
    <xf numFmtId="2" fontId="7" fillId="0" borderId="3" xfId="0" applyNumberFormat="1" applyFont="1" applyBorder="1" applyAlignment="1">
      <alignment horizontal="right"/>
    </xf>
    <xf numFmtId="0" fontId="7" fillId="4" borderId="5" xfId="0" applyFont="1" applyFill="1" applyBorder="1" applyAlignment="1">
      <alignment horizontal="left"/>
    </xf>
    <xf numFmtId="0" fontId="7" fillId="4" borderId="6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left"/>
    </xf>
    <xf numFmtId="4" fontId="7" fillId="3" borderId="2" xfId="0" applyNumberFormat="1" applyFont="1" applyFill="1" applyBorder="1" applyAlignment="1">
      <alignment horizontal="right"/>
    </xf>
    <xf numFmtId="4" fontId="7" fillId="3" borderId="3" xfId="0" applyNumberFormat="1" applyFont="1" applyFill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4" fillId="8" borderId="5" xfId="0" applyFont="1" applyFill="1" applyBorder="1" applyAlignment="1">
      <alignment horizontal="left"/>
    </xf>
    <xf numFmtId="0" fontId="4" fillId="8" borderId="6" xfId="0" applyFont="1" applyFill="1" applyBorder="1" applyAlignment="1">
      <alignment horizontal="left"/>
    </xf>
    <xf numFmtId="0" fontId="4" fillId="8" borderId="7" xfId="0" applyFont="1" applyFill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" fontId="7" fillId="3" borderId="0" xfId="0" applyNumberFormat="1" applyFont="1" applyFill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49" fontId="4" fillId="0" borderId="5" xfId="0" applyNumberFormat="1" applyFont="1" applyBorder="1" applyAlignment="1">
      <alignment horizontal="left" wrapText="1"/>
    </xf>
    <xf numFmtId="49" fontId="4" fillId="0" borderId="6" xfId="0" applyNumberFormat="1" applyFont="1" applyBorder="1" applyAlignment="1">
      <alignment horizontal="left" wrapText="1"/>
    </xf>
    <xf numFmtId="49" fontId="4" fillId="0" borderId="7" xfId="0" applyNumberFormat="1" applyFont="1" applyBorder="1" applyAlignment="1">
      <alignment horizontal="left" wrapText="1"/>
    </xf>
    <xf numFmtId="0" fontId="4" fillId="2" borderId="8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2" fillId="0" borderId="5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9" xfId="0" applyFont="1" applyBorder="1" applyAlignment="1">
      <alignment horizontal="left" wrapText="1"/>
    </xf>
    <xf numFmtId="0" fontId="11" fillId="3" borderId="5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left"/>
    </xf>
    <xf numFmtId="0" fontId="11" fillId="3" borderId="7" xfId="0" applyFont="1" applyFill="1" applyBorder="1" applyAlignment="1">
      <alignment horizontal="left"/>
    </xf>
    <xf numFmtId="0" fontId="11" fillId="3" borderId="8" xfId="0" applyFont="1" applyFill="1" applyBorder="1" applyAlignment="1">
      <alignment horizontal="left"/>
    </xf>
    <xf numFmtId="0" fontId="11" fillId="3" borderId="4" xfId="0" applyFont="1" applyFill="1" applyBorder="1" applyAlignment="1">
      <alignment horizontal="left"/>
    </xf>
    <xf numFmtId="0" fontId="11" fillId="3" borderId="9" xfId="0" applyFont="1" applyFill="1" applyBorder="1" applyAlignment="1">
      <alignment horizontal="left"/>
    </xf>
    <xf numFmtId="0" fontId="11" fillId="0" borderId="1" xfId="0" applyFont="1" applyBorder="1" applyAlignment="1">
      <alignment horizontal="left"/>
    </xf>
    <xf numFmtId="49" fontId="11" fillId="3" borderId="1" xfId="0" applyNumberFormat="1" applyFont="1" applyFill="1" applyBorder="1" applyAlignment="1">
      <alignment horizontal="left" wrapText="1"/>
    </xf>
    <xf numFmtId="0" fontId="11" fillId="3" borderId="1" xfId="0" applyFont="1" applyFill="1" applyBorder="1"/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13" fillId="3" borderId="7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left"/>
    </xf>
    <xf numFmtId="0" fontId="11" fillId="3" borderId="5" xfId="0" applyFont="1" applyFill="1" applyBorder="1" applyAlignment="1">
      <alignment horizontal="left" wrapText="1"/>
    </xf>
    <xf numFmtId="0" fontId="11" fillId="3" borderId="6" xfId="0" applyFont="1" applyFill="1" applyBorder="1" applyAlignment="1">
      <alignment horizontal="left" wrapText="1"/>
    </xf>
    <xf numFmtId="0" fontId="11" fillId="3" borderId="7" xfId="0" applyFont="1" applyFill="1" applyBorder="1" applyAlignment="1">
      <alignment horizontal="left" wrapText="1"/>
    </xf>
    <xf numFmtId="0" fontId="10" fillId="3" borderId="5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49" fontId="11" fillId="3" borderId="5" xfId="0" applyNumberFormat="1" applyFont="1" applyFill="1" applyBorder="1" applyAlignment="1">
      <alignment horizontal="left" wrapText="1"/>
    </xf>
    <xf numFmtId="0" fontId="11" fillId="3" borderId="6" xfId="0" applyFont="1" applyFill="1" applyBorder="1"/>
    <xf numFmtId="0" fontId="11" fillId="3" borderId="7" xfId="0" applyFont="1" applyFill="1" applyBorder="1"/>
    <xf numFmtId="0" fontId="11" fillId="3" borderId="8" xfId="0" applyFont="1" applyFill="1" applyBorder="1" applyAlignment="1">
      <alignment horizontal="left" wrapText="1"/>
    </xf>
    <xf numFmtId="0" fontId="11" fillId="3" borderId="4" xfId="0" applyFont="1" applyFill="1" applyBorder="1" applyAlignment="1">
      <alignment horizontal="left" wrapText="1"/>
    </xf>
    <xf numFmtId="0" fontId="11" fillId="3" borderId="9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3" borderId="5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7" xfId="0" applyFont="1" applyFill="1" applyBorder="1" applyAlignment="1">
      <alignment horizontal="center" wrapText="1"/>
    </xf>
    <xf numFmtId="49" fontId="11" fillId="3" borderId="6" xfId="0" applyNumberFormat="1" applyFont="1" applyFill="1" applyBorder="1" applyAlignment="1">
      <alignment horizontal="left" wrapText="1"/>
    </xf>
    <xf numFmtId="49" fontId="11" fillId="3" borderId="7" xfId="0" applyNumberFormat="1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right"/>
    </xf>
    <xf numFmtId="0" fontId="11" fillId="3" borderId="3" xfId="0" applyFont="1" applyFill="1" applyBorder="1" applyAlignment="1">
      <alignment horizontal="right"/>
    </xf>
    <xf numFmtId="2" fontId="11" fillId="3" borderId="2" xfId="0" applyNumberFormat="1" applyFont="1" applyFill="1" applyBorder="1" applyAlignment="1">
      <alignment horizontal="right"/>
    </xf>
    <xf numFmtId="2" fontId="11" fillId="3" borderId="3" xfId="0" applyNumberFormat="1" applyFont="1" applyFill="1" applyBorder="1" applyAlignment="1">
      <alignment horizontal="right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wrapText="1"/>
    </xf>
    <xf numFmtId="0" fontId="11" fillId="3" borderId="3" xfId="0" applyFont="1" applyFill="1" applyBorder="1" applyAlignment="1">
      <alignment horizont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wrapText="1"/>
    </xf>
    <xf numFmtId="4" fontId="11" fillId="3" borderId="2" xfId="0" applyNumberFormat="1" applyFont="1" applyFill="1" applyBorder="1" applyAlignment="1">
      <alignment horizontal="right"/>
    </xf>
    <xf numFmtId="4" fontId="11" fillId="3" borderId="3" xfId="0" applyNumberFormat="1" applyFont="1" applyFill="1" applyBorder="1" applyAlignment="1">
      <alignment horizontal="right"/>
    </xf>
    <xf numFmtId="165" fontId="11" fillId="3" borderId="5" xfId="0" applyNumberFormat="1" applyFont="1" applyFill="1" applyBorder="1" applyAlignment="1">
      <alignment horizontal="center"/>
    </xf>
    <xf numFmtId="165" fontId="11" fillId="3" borderId="7" xfId="0" applyNumberFormat="1" applyFont="1" applyFill="1" applyBorder="1" applyAlignment="1">
      <alignment horizontal="center"/>
    </xf>
    <xf numFmtId="165" fontId="10" fillId="3" borderId="5" xfId="0" applyNumberFormat="1" applyFont="1" applyFill="1" applyBorder="1" applyAlignment="1">
      <alignment horizontal="center"/>
    </xf>
    <xf numFmtId="165" fontId="10" fillId="3" borderId="7" xfId="0" applyNumberFormat="1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/>
    </xf>
    <xf numFmtId="2" fontId="11" fillId="3" borderId="5" xfId="0" applyNumberFormat="1" applyFont="1" applyFill="1" applyBorder="1" applyAlignment="1">
      <alignment horizontal="center"/>
    </xf>
    <xf numFmtId="2" fontId="11" fillId="3" borderId="7" xfId="0" applyNumberFormat="1" applyFont="1" applyFill="1" applyBorder="1" applyAlignment="1">
      <alignment horizontal="center"/>
    </xf>
    <xf numFmtId="166" fontId="10" fillId="3" borderId="5" xfId="0" applyNumberFormat="1" applyFont="1" applyFill="1" applyBorder="1" applyAlignment="1">
      <alignment horizontal="center"/>
    </xf>
    <xf numFmtId="166" fontId="10" fillId="3" borderId="7" xfId="0" applyNumberFormat="1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165" fontId="11" fillId="3" borderId="1" xfId="0" applyNumberFormat="1" applyFont="1" applyFill="1" applyBorder="1" applyAlignment="1">
      <alignment horizontal="center"/>
    </xf>
    <xf numFmtId="166" fontId="10" fillId="3" borderId="1" xfId="0" applyNumberFormat="1" applyFont="1" applyFill="1" applyBorder="1" applyAlignment="1">
      <alignment horizontal="center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10" fillId="3" borderId="11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4"/>
  <sheetViews>
    <sheetView workbookViewId="0">
      <selection activeCell="A27" sqref="A27:Z47"/>
    </sheetView>
  </sheetViews>
  <sheetFormatPr defaultRowHeight="15" x14ac:dyDescent="0.25"/>
  <cols>
    <col min="1" max="1" width="6.5703125" customWidth="1"/>
    <col min="3" max="3" width="6.28515625" customWidth="1"/>
    <col min="4" max="4" width="1.7109375" hidden="1" customWidth="1"/>
    <col min="5" max="5" width="6.140625" customWidth="1"/>
    <col min="6" max="6" width="6.85546875" customWidth="1"/>
    <col min="7" max="7" width="7.7109375" customWidth="1"/>
    <col min="8" max="8" width="7.5703125" customWidth="1"/>
    <col min="9" max="9" width="6.140625" customWidth="1"/>
    <col min="10" max="10" width="7.85546875" customWidth="1"/>
    <col min="11" max="11" width="6.42578125" customWidth="1"/>
    <col min="12" max="12" width="7.7109375" customWidth="1"/>
    <col min="13" max="13" width="6" customWidth="1"/>
    <col min="14" max="14" width="7.5703125" customWidth="1"/>
    <col min="15" max="15" width="6.7109375" customWidth="1"/>
    <col min="16" max="16" width="7.28515625" customWidth="1"/>
    <col min="17" max="17" width="6.85546875" customWidth="1"/>
    <col min="18" max="18" width="7.7109375" customWidth="1"/>
    <col min="19" max="19" width="5.85546875" customWidth="1"/>
    <col min="20" max="20" width="7.85546875" customWidth="1"/>
    <col min="21" max="21" width="6.140625" customWidth="1"/>
    <col min="22" max="22" width="9.85546875" customWidth="1"/>
    <col min="23" max="23" width="5.7109375" customWidth="1"/>
    <col min="24" max="24" width="7.7109375" customWidth="1"/>
    <col min="25" max="25" width="5.28515625" customWidth="1"/>
    <col min="26" max="26" width="10.140625" customWidth="1"/>
    <col min="28" max="28" width="10.5703125" bestFit="1" customWidth="1"/>
  </cols>
  <sheetData>
    <row r="1" spans="1:28" x14ac:dyDescent="0.25">
      <c r="I1" s="1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W1" s="1"/>
    </row>
    <row r="2" spans="1:28" x14ac:dyDescent="0.25">
      <c r="O2" s="1" t="s">
        <v>26</v>
      </c>
    </row>
    <row r="3" spans="1:28" x14ac:dyDescent="0.25">
      <c r="X3" t="s">
        <v>164</v>
      </c>
    </row>
    <row r="4" spans="1:28" s="2" customFormat="1" ht="45" customHeight="1" x14ac:dyDescent="0.25">
      <c r="A4" s="263" t="s">
        <v>4</v>
      </c>
      <c r="B4" s="262" t="s">
        <v>1</v>
      </c>
      <c r="C4" s="262"/>
      <c r="D4" s="262"/>
      <c r="E4" s="264" t="s">
        <v>2</v>
      </c>
      <c r="F4" s="266" t="s">
        <v>11</v>
      </c>
      <c r="G4" s="260" t="s">
        <v>5</v>
      </c>
      <c r="H4" s="261"/>
      <c r="I4" s="261"/>
      <c r="J4" s="261"/>
      <c r="K4" s="260" t="s">
        <v>6</v>
      </c>
      <c r="L4" s="261"/>
      <c r="M4" s="261"/>
      <c r="N4" s="261"/>
      <c r="O4" s="260" t="s">
        <v>7</v>
      </c>
      <c r="P4" s="261"/>
      <c r="Q4" s="261"/>
      <c r="R4" s="261"/>
      <c r="S4" s="260" t="s">
        <v>15</v>
      </c>
      <c r="T4" s="261"/>
      <c r="U4" s="261"/>
      <c r="V4" s="261"/>
      <c r="W4" s="262" t="s">
        <v>16</v>
      </c>
      <c r="X4" s="262"/>
      <c r="Y4" s="262"/>
      <c r="Z4" s="262"/>
    </row>
    <row r="5" spans="1:28" ht="70.5" customHeight="1" x14ac:dyDescent="0.25">
      <c r="A5" s="263"/>
      <c r="B5" s="262"/>
      <c r="C5" s="262"/>
      <c r="D5" s="262"/>
      <c r="E5" s="265"/>
      <c r="F5" s="267"/>
      <c r="G5" s="4" t="s">
        <v>12</v>
      </c>
      <c r="H5" s="4" t="s">
        <v>13</v>
      </c>
      <c r="I5" s="5" t="s">
        <v>14</v>
      </c>
      <c r="J5" s="4" t="s">
        <v>25</v>
      </c>
      <c r="K5" s="4" t="s">
        <v>12</v>
      </c>
      <c r="L5" s="4" t="s">
        <v>13</v>
      </c>
      <c r="M5" s="5" t="s">
        <v>14</v>
      </c>
      <c r="N5" s="4" t="s">
        <v>25</v>
      </c>
      <c r="O5" s="4" t="s">
        <v>12</v>
      </c>
      <c r="P5" s="4" t="s">
        <v>13</v>
      </c>
      <c r="Q5" s="5" t="s">
        <v>3</v>
      </c>
      <c r="R5" s="4" t="s">
        <v>25</v>
      </c>
      <c r="S5" s="4" t="s">
        <v>12</v>
      </c>
      <c r="T5" s="4" t="s">
        <v>13</v>
      </c>
      <c r="U5" s="5" t="s">
        <v>3</v>
      </c>
      <c r="V5" s="12" t="s">
        <v>25</v>
      </c>
      <c r="W5" s="4" t="s">
        <v>12</v>
      </c>
      <c r="X5" s="4" t="s">
        <v>13</v>
      </c>
      <c r="Y5" s="5" t="s">
        <v>23</v>
      </c>
      <c r="Z5" s="4" t="s">
        <v>25</v>
      </c>
    </row>
    <row r="6" spans="1:28" x14ac:dyDescent="0.25">
      <c r="A6" s="6" t="s">
        <v>8</v>
      </c>
      <c r="B6" s="259" t="s">
        <v>10</v>
      </c>
      <c r="C6" s="259"/>
      <c r="D6" s="259"/>
      <c r="E6" s="5" t="s">
        <v>9</v>
      </c>
      <c r="F6" s="7">
        <v>1.5</v>
      </c>
      <c r="G6" s="7">
        <v>813</v>
      </c>
      <c r="H6" s="7">
        <f>F6*G6</f>
        <v>1219.5</v>
      </c>
      <c r="I6" s="7"/>
      <c r="J6" s="7">
        <v>1189.3900000000001</v>
      </c>
      <c r="K6" s="7">
        <v>300</v>
      </c>
      <c r="L6" s="7">
        <f>F6*K6</f>
        <v>450</v>
      </c>
      <c r="M6" s="7">
        <v>17</v>
      </c>
      <c r="N6" s="7">
        <v>524.29999999999995</v>
      </c>
      <c r="O6" s="7">
        <v>276</v>
      </c>
      <c r="P6" s="7">
        <f>F6*O6</f>
        <v>414</v>
      </c>
      <c r="Q6" s="7">
        <v>14</v>
      </c>
      <c r="R6" s="7">
        <v>463.72</v>
      </c>
      <c r="S6" s="7">
        <v>59</v>
      </c>
      <c r="T6" s="7">
        <f>S6*F6</f>
        <v>88.5</v>
      </c>
      <c r="U6" s="7">
        <v>200</v>
      </c>
      <c r="V6" s="17">
        <v>225.64</v>
      </c>
      <c r="W6" s="7">
        <v>132</v>
      </c>
      <c r="X6" s="7">
        <f>W6*F6</f>
        <v>198</v>
      </c>
      <c r="Y6" s="7">
        <v>100</v>
      </c>
      <c r="Z6" s="7">
        <v>396.92</v>
      </c>
      <c r="AB6" s="18"/>
    </row>
    <row r="7" spans="1:28" x14ac:dyDescent="0.25">
      <c r="A7" s="6" t="s">
        <v>17</v>
      </c>
      <c r="B7" s="259" t="s">
        <v>18</v>
      </c>
      <c r="C7" s="259"/>
      <c r="D7" s="259"/>
      <c r="E7" s="8" t="s">
        <v>19</v>
      </c>
      <c r="F7" s="7">
        <v>300</v>
      </c>
      <c r="G7" s="7">
        <v>813</v>
      </c>
      <c r="H7" s="7">
        <f>F7*G7</f>
        <v>243900</v>
      </c>
      <c r="I7" s="7">
        <v>-50</v>
      </c>
      <c r="J7" s="7">
        <v>115200</v>
      </c>
      <c r="K7" s="7">
        <v>300</v>
      </c>
      <c r="L7" s="7">
        <f>F7*K7</f>
        <v>90000</v>
      </c>
      <c r="M7" s="7"/>
      <c r="N7" s="7">
        <v>87879</v>
      </c>
      <c r="O7" s="7">
        <f>276+92</f>
        <v>368</v>
      </c>
      <c r="P7" s="7">
        <f>(276*F7)+(92*500)</f>
        <v>128800</v>
      </c>
      <c r="Q7" s="7">
        <v>100</v>
      </c>
      <c r="R7" s="7">
        <v>254226</v>
      </c>
      <c r="S7" s="7">
        <v>59</v>
      </c>
      <c r="T7" s="7">
        <f>F7*S7</f>
        <v>17700</v>
      </c>
      <c r="U7" s="7">
        <v>110</v>
      </c>
      <c r="V7" s="17">
        <v>36240</v>
      </c>
      <c r="W7" s="7">
        <v>132</v>
      </c>
      <c r="X7" s="7">
        <f>F7*W7</f>
        <v>39600</v>
      </c>
      <c r="Y7" s="7">
        <v>70</v>
      </c>
      <c r="Z7" s="7">
        <v>67939</v>
      </c>
    </row>
    <row r="8" spans="1:28" x14ac:dyDescent="0.25">
      <c r="A8" s="6" t="s">
        <v>20</v>
      </c>
      <c r="B8" s="259" t="s">
        <v>21</v>
      </c>
      <c r="C8" s="259"/>
      <c r="D8" s="259"/>
      <c r="E8" s="8" t="s">
        <v>22</v>
      </c>
      <c r="F8" s="7">
        <v>2.2000000000000002</v>
      </c>
      <c r="G8" s="7">
        <v>813</v>
      </c>
      <c r="H8" s="7">
        <f>F8*G8</f>
        <v>1788.6000000000001</v>
      </c>
      <c r="I8" s="7">
        <v>-10</v>
      </c>
      <c r="J8" s="7">
        <v>1500</v>
      </c>
      <c r="K8" s="7">
        <v>300</v>
      </c>
      <c r="L8" s="7">
        <f>F8*K8</f>
        <v>660</v>
      </c>
      <c r="M8" s="7"/>
      <c r="N8" s="7">
        <v>636</v>
      </c>
      <c r="O8" s="7">
        <v>368</v>
      </c>
      <c r="P8" s="7">
        <f>(2.2*276)+856.8</f>
        <v>1464</v>
      </c>
      <c r="Q8" s="7">
        <v>35</v>
      </c>
      <c r="R8" s="7">
        <v>1995</v>
      </c>
      <c r="S8" s="7">
        <v>59</v>
      </c>
      <c r="T8" s="7">
        <f>(2.2*41)+(8.3*18)</f>
        <v>239.60000000000002</v>
      </c>
      <c r="U8" s="7"/>
      <c r="V8" s="17">
        <v>223.9</v>
      </c>
      <c r="W8" s="7">
        <v>132</v>
      </c>
      <c r="X8" s="7">
        <f>(91*2.2)+(41*8.3)</f>
        <v>540.5</v>
      </c>
      <c r="Y8" s="7">
        <v>50</v>
      </c>
      <c r="Z8" s="7">
        <v>804</v>
      </c>
    </row>
    <row r="9" spans="1:28" x14ac:dyDescent="0.25">
      <c r="A9" s="6" t="s">
        <v>27</v>
      </c>
      <c r="B9" s="259" t="s">
        <v>24</v>
      </c>
      <c r="C9" s="259"/>
      <c r="D9" s="259"/>
      <c r="E9" s="8" t="s">
        <v>22</v>
      </c>
      <c r="F9" s="7">
        <v>2.2000000000000002</v>
      </c>
      <c r="G9" s="7">
        <v>813</v>
      </c>
      <c r="H9" s="7">
        <f>F9*G9</f>
        <v>1788.6000000000001</v>
      </c>
      <c r="I9" s="7">
        <v>-15</v>
      </c>
      <c r="J9" s="7">
        <v>1500</v>
      </c>
      <c r="K9" s="7">
        <v>300</v>
      </c>
      <c r="L9" s="7">
        <f>F9*K9</f>
        <v>660</v>
      </c>
      <c r="M9" s="7"/>
      <c r="N9" s="7">
        <v>636</v>
      </c>
      <c r="O9" s="7">
        <v>368</v>
      </c>
      <c r="P9" s="7">
        <f>(2.2*276)+856.8</f>
        <v>1464</v>
      </c>
      <c r="Q9" s="7">
        <v>35</v>
      </c>
      <c r="R9" s="7">
        <v>1995</v>
      </c>
      <c r="S9" s="7">
        <v>59</v>
      </c>
      <c r="T9" s="7">
        <f>(2.2*41)+(8.3*18)</f>
        <v>239.60000000000002</v>
      </c>
      <c r="U9" s="7">
        <v>-100</v>
      </c>
      <c r="V9" s="17"/>
      <c r="W9" s="7">
        <v>132</v>
      </c>
      <c r="X9" s="7">
        <f>(91*2.2)+(41*8.3)</f>
        <v>540.5</v>
      </c>
      <c r="Y9" s="7">
        <v>50</v>
      </c>
      <c r="Z9" s="7">
        <v>804</v>
      </c>
    </row>
    <row r="10" spans="1:28" x14ac:dyDescent="0.25">
      <c r="A10" s="9"/>
      <c r="B10" s="10"/>
      <c r="C10" s="10"/>
      <c r="D10" s="10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7"/>
      <c r="X10" s="7"/>
      <c r="Y10" s="7"/>
      <c r="Z10" s="7"/>
    </row>
    <row r="11" spans="1:28" ht="30" customHeight="1" x14ac:dyDescent="0.25">
      <c r="A11" s="263" t="s">
        <v>4</v>
      </c>
      <c r="B11" s="262" t="s">
        <v>1</v>
      </c>
      <c r="C11" s="262"/>
      <c r="D11" s="262"/>
      <c r="E11" s="264" t="s">
        <v>2</v>
      </c>
      <c r="F11" s="266" t="s">
        <v>28</v>
      </c>
      <c r="G11" s="262" t="s">
        <v>31</v>
      </c>
      <c r="H11" s="262"/>
      <c r="I11" s="262"/>
      <c r="J11" s="262"/>
      <c r="K11" s="262" t="s">
        <v>30</v>
      </c>
      <c r="L11" s="262"/>
      <c r="M11" s="262"/>
      <c r="N11" s="262"/>
      <c r="O11" s="262" t="s">
        <v>32</v>
      </c>
      <c r="P11" s="262"/>
      <c r="Q11" s="262"/>
      <c r="R11" s="262"/>
      <c r="S11" s="262" t="s">
        <v>33</v>
      </c>
      <c r="T11" s="262"/>
      <c r="U11" s="262"/>
      <c r="V11" s="260"/>
      <c r="W11" s="262" t="s">
        <v>34</v>
      </c>
      <c r="X11" s="262"/>
      <c r="Y11" s="262"/>
      <c r="Z11" s="262"/>
    </row>
    <row r="12" spans="1:28" ht="60" x14ac:dyDescent="0.25">
      <c r="A12" s="263"/>
      <c r="B12" s="262"/>
      <c r="C12" s="262"/>
      <c r="D12" s="262"/>
      <c r="E12" s="265"/>
      <c r="F12" s="267"/>
      <c r="G12" s="4" t="s">
        <v>29</v>
      </c>
      <c r="H12" s="4" t="s">
        <v>13</v>
      </c>
      <c r="I12" s="5" t="s">
        <v>14</v>
      </c>
      <c r="J12" s="4" t="s">
        <v>25</v>
      </c>
      <c r="K12" s="4" t="s">
        <v>29</v>
      </c>
      <c r="L12" s="4" t="s">
        <v>13</v>
      </c>
      <c r="M12" s="5" t="s">
        <v>14</v>
      </c>
      <c r="N12" s="4" t="s">
        <v>25</v>
      </c>
      <c r="O12" s="4" t="s">
        <v>29</v>
      </c>
      <c r="P12" s="4" t="s">
        <v>13</v>
      </c>
      <c r="Q12" s="4" t="s">
        <v>165</v>
      </c>
      <c r="R12" s="4" t="s">
        <v>25</v>
      </c>
      <c r="S12" s="4" t="s">
        <v>29</v>
      </c>
      <c r="T12" s="4" t="s">
        <v>13</v>
      </c>
      <c r="U12" s="4" t="s">
        <v>165</v>
      </c>
      <c r="V12" s="12" t="s">
        <v>25</v>
      </c>
      <c r="W12" s="4" t="s">
        <v>29</v>
      </c>
      <c r="X12" s="4" t="s">
        <v>13</v>
      </c>
      <c r="Y12" s="4" t="s">
        <v>23</v>
      </c>
      <c r="Z12" s="4" t="s">
        <v>25</v>
      </c>
    </row>
    <row r="13" spans="1:28" x14ac:dyDescent="0.25">
      <c r="A13" s="6" t="s">
        <v>8</v>
      </c>
      <c r="B13" s="259" t="s">
        <v>10</v>
      </c>
      <c r="C13" s="259"/>
      <c r="D13" s="259"/>
      <c r="E13" s="5" t="s">
        <v>9</v>
      </c>
      <c r="F13" s="7">
        <v>2.2999999999999998</v>
      </c>
      <c r="G13" s="7">
        <v>237</v>
      </c>
      <c r="H13" s="7">
        <f>F13*G13</f>
        <v>545.09999999999991</v>
      </c>
      <c r="I13" s="7">
        <v>5</v>
      </c>
      <c r="J13" s="7">
        <v>565.94000000000005</v>
      </c>
      <c r="K13" s="7">
        <v>67</v>
      </c>
      <c r="L13" s="7">
        <f>K13*F13</f>
        <v>154.1</v>
      </c>
      <c r="M13" s="7"/>
      <c r="N13" s="7">
        <v>148.94999999999999</v>
      </c>
      <c r="O13" s="7">
        <v>92</v>
      </c>
      <c r="P13" s="7">
        <f>O13*F13</f>
        <v>211.6</v>
      </c>
      <c r="Q13" s="7">
        <v>-46</v>
      </c>
      <c r="R13" s="7">
        <v>112.71</v>
      </c>
      <c r="S13" s="7">
        <v>140</v>
      </c>
      <c r="T13" s="7">
        <f>S13*F13</f>
        <v>322</v>
      </c>
      <c r="U13" s="11">
        <v>35</v>
      </c>
      <c r="V13" s="17">
        <f>T13+112.7</f>
        <v>434.7</v>
      </c>
      <c r="W13" s="7">
        <v>86</v>
      </c>
      <c r="X13" s="7">
        <f>F13*W13</f>
        <v>197.79999999999998</v>
      </c>
      <c r="Y13" s="7">
        <v>25</v>
      </c>
      <c r="Z13" s="7">
        <v>233.78</v>
      </c>
    </row>
    <row r="14" spans="1:28" x14ac:dyDescent="0.25">
      <c r="A14" s="6" t="s">
        <v>17</v>
      </c>
      <c r="B14" s="259" t="s">
        <v>18</v>
      </c>
      <c r="C14" s="259"/>
      <c r="D14" s="259"/>
      <c r="E14" s="8" t="s">
        <v>19</v>
      </c>
      <c r="F14" s="7">
        <v>500</v>
      </c>
      <c r="G14" s="7">
        <v>237</v>
      </c>
      <c r="H14" s="7">
        <f>G14*F14</f>
        <v>118500</v>
      </c>
      <c r="I14" s="7">
        <v>32</v>
      </c>
      <c r="J14" s="7">
        <v>155560</v>
      </c>
      <c r="K14" s="7">
        <v>67</v>
      </c>
      <c r="L14" s="7">
        <f>K14*F14</f>
        <v>33500</v>
      </c>
      <c r="M14" s="7">
        <v>60</v>
      </c>
      <c r="N14" s="7">
        <v>53010</v>
      </c>
      <c r="O14" s="11">
        <v>92</v>
      </c>
      <c r="P14" s="11">
        <f>O14*F14</f>
        <v>46000</v>
      </c>
      <c r="Q14" s="11">
        <v>70</v>
      </c>
      <c r="R14" s="11">
        <v>77220</v>
      </c>
      <c r="S14" s="7">
        <v>140</v>
      </c>
      <c r="T14" s="7">
        <f>F14*S14</f>
        <v>70000</v>
      </c>
      <c r="U14" s="11">
        <v>50</v>
      </c>
      <c r="V14" s="30">
        <f>T14+35000</f>
        <v>105000</v>
      </c>
      <c r="W14" s="7">
        <v>86</v>
      </c>
      <c r="X14" s="7">
        <f>F14*W14</f>
        <v>43000</v>
      </c>
      <c r="Y14" s="7">
        <v>-25</v>
      </c>
      <c r="Z14" s="7">
        <v>31571</v>
      </c>
    </row>
    <row r="15" spans="1:28" x14ac:dyDescent="0.25">
      <c r="A15" s="6" t="s">
        <v>20</v>
      </c>
      <c r="B15" s="259" t="s">
        <v>21</v>
      </c>
      <c r="C15" s="259"/>
      <c r="D15" s="259"/>
      <c r="E15" s="8" t="s">
        <v>22</v>
      </c>
      <c r="F15" s="7">
        <v>8</v>
      </c>
      <c r="G15" s="7">
        <v>237</v>
      </c>
      <c r="H15" s="7">
        <f>F15*G15</f>
        <v>1896</v>
      </c>
      <c r="I15" s="7">
        <v>10</v>
      </c>
      <c r="J15" s="7">
        <v>1957</v>
      </c>
      <c r="K15" s="7">
        <v>67</v>
      </c>
      <c r="L15" s="7">
        <f>F15*K15</f>
        <v>536</v>
      </c>
      <c r="M15" s="7">
        <v>20</v>
      </c>
      <c r="N15" s="7">
        <v>650</v>
      </c>
      <c r="O15" s="7">
        <v>92</v>
      </c>
      <c r="P15" s="7">
        <f>F15*O15</f>
        <v>736</v>
      </c>
      <c r="Q15" s="7">
        <v>20</v>
      </c>
      <c r="R15" s="41">
        <f>P15+147.2</f>
        <v>883.2</v>
      </c>
      <c r="S15" s="7">
        <v>140</v>
      </c>
      <c r="T15" s="7">
        <f>F15*S15</f>
        <v>1120</v>
      </c>
      <c r="U15" s="7">
        <v>20</v>
      </c>
      <c r="V15" s="17">
        <f>T15+224</f>
        <v>1344</v>
      </c>
      <c r="W15" s="7">
        <v>86</v>
      </c>
      <c r="X15" s="7">
        <f>F15*W15</f>
        <v>688</v>
      </c>
      <c r="Y15" s="7">
        <v>-10</v>
      </c>
      <c r="Z15" s="7">
        <v>639</v>
      </c>
    </row>
    <row r="16" spans="1:28" x14ac:dyDescent="0.25">
      <c r="A16" s="6" t="s">
        <v>27</v>
      </c>
      <c r="B16" s="259" t="s">
        <v>24</v>
      </c>
      <c r="C16" s="259"/>
      <c r="D16" s="259"/>
      <c r="E16" s="8" t="s">
        <v>22</v>
      </c>
      <c r="F16" s="7">
        <v>8</v>
      </c>
      <c r="G16" s="7">
        <v>237</v>
      </c>
      <c r="H16" s="7">
        <f>F16*G16</f>
        <v>1896</v>
      </c>
      <c r="I16" s="7">
        <v>10</v>
      </c>
      <c r="J16" s="7">
        <v>1957</v>
      </c>
      <c r="K16" s="7">
        <v>67</v>
      </c>
      <c r="L16" s="7">
        <v>536</v>
      </c>
      <c r="M16" s="7">
        <v>60</v>
      </c>
      <c r="N16" s="7">
        <f>L16+322</f>
        <v>858</v>
      </c>
      <c r="O16" s="7">
        <v>92</v>
      </c>
      <c r="P16" s="7">
        <f>F16*O16</f>
        <v>736</v>
      </c>
      <c r="Q16" s="7">
        <v>20</v>
      </c>
      <c r="R16" s="41">
        <f>P16+147.2</f>
        <v>883.2</v>
      </c>
      <c r="S16" s="7">
        <v>140</v>
      </c>
      <c r="T16" s="7">
        <f>F16*S16</f>
        <v>1120</v>
      </c>
      <c r="U16" s="7">
        <v>20</v>
      </c>
      <c r="V16" s="7">
        <f>T16+224</f>
        <v>1344</v>
      </c>
      <c r="W16" s="7">
        <v>86</v>
      </c>
      <c r="X16" s="7">
        <f>F16*W16</f>
        <v>688</v>
      </c>
      <c r="Y16" s="7">
        <v>-10</v>
      </c>
      <c r="Z16" s="17">
        <v>639</v>
      </c>
    </row>
    <row r="17" spans="1:26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46.5" customHeight="1" x14ac:dyDescent="0.25">
      <c r="A18" s="268" t="s">
        <v>35</v>
      </c>
      <c r="B18" s="268"/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68"/>
      <c r="U18" s="268"/>
      <c r="V18" s="268"/>
      <c r="W18" s="268"/>
      <c r="X18" s="268"/>
      <c r="Y18" s="268"/>
      <c r="Z18" s="268"/>
    </row>
    <row r="19" spans="1:26" ht="75.75" customHeight="1" x14ac:dyDescent="0.25">
      <c r="A19" s="269" t="s">
        <v>36</v>
      </c>
      <c r="B19" s="269"/>
      <c r="C19" s="269"/>
      <c r="D19" s="269"/>
      <c r="E19" s="269"/>
      <c r="F19" s="269"/>
      <c r="G19" s="269"/>
      <c r="H19" s="269"/>
      <c r="I19" s="269"/>
      <c r="J19" s="269"/>
      <c r="K19" s="269"/>
      <c r="L19" s="269"/>
      <c r="M19" s="269"/>
      <c r="N19" s="269"/>
      <c r="O19" s="269"/>
      <c r="P19" s="269"/>
      <c r="Q19" s="269"/>
      <c r="R19" s="269"/>
      <c r="S19" s="269"/>
      <c r="T19" s="269"/>
      <c r="U19" s="269"/>
      <c r="V19" s="269"/>
      <c r="W19" s="269"/>
      <c r="X19" s="269"/>
      <c r="Y19" s="269"/>
      <c r="Z19" s="269"/>
    </row>
    <row r="20" spans="1:26" ht="40.5" customHeight="1" x14ac:dyDescent="0.25">
      <c r="A20" s="269" t="s">
        <v>37</v>
      </c>
      <c r="B20" s="269"/>
      <c r="C20" s="269"/>
      <c r="D20" s="269"/>
      <c r="E20" s="269"/>
      <c r="F20" s="269"/>
      <c r="G20" s="269"/>
      <c r="H20" s="269"/>
      <c r="I20" s="269"/>
      <c r="J20" s="269"/>
      <c r="K20" s="269"/>
      <c r="L20" s="269"/>
      <c r="M20" s="269"/>
      <c r="N20" s="269"/>
      <c r="O20" s="269"/>
      <c r="P20" s="269"/>
      <c r="Q20" s="269"/>
      <c r="R20" s="269"/>
      <c r="S20" s="269"/>
      <c r="T20" s="269"/>
      <c r="U20" s="269"/>
      <c r="V20" s="269"/>
      <c r="W20" s="269"/>
      <c r="X20" s="269"/>
      <c r="Y20" s="269"/>
      <c r="Z20" s="269"/>
    </row>
    <row r="22" spans="1:26" x14ac:dyDescent="0.25">
      <c r="A22" s="28" t="s">
        <v>69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26" x14ac:dyDescent="0.25">
      <c r="A23" s="28" t="s">
        <v>70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</row>
    <row r="25" spans="1:26" x14ac:dyDescent="0.25">
      <c r="A25" t="s">
        <v>168</v>
      </c>
    </row>
    <row r="27" spans="1:26" x14ac:dyDescent="0.25">
      <c r="E27" s="110"/>
      <c r="F27" s="111" t="s">
        <v>0</v>
      </c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0"/>
      <c r="S27" s="110"/>
      <c r="T27" s="111"/>
      <c r="U27" s="110"/>
      <c r="V27" s="110"/>
    </row>
    <row r="28" spans="1:26" x14ac:dyDescent="0.25">
      <c r="E28" s="110"/>
      <c r="F28" s="110"/>
      <c r="G28" s="110"/>
      <c r="H28" s="110"/>
      <c r="I28" s="110"/>
      <c r="J28" s="110"/>
      <c r="K28" s="110"/>
      <c r="L28" s="111" t="s">
        <v>26</v>
      </c>
      <c r="M28" s="110"/>
      <c r="N28" s="110"/>
      <c r="O28" s="110"/>
      <c r="P28" s="110"/>
      <c r="Q28" s="110"/>
      <c r="R28" s="110"/>
      <c r="S28" s="110"/>
      <c r="T28" s="110"/>
      <c r="U28" s="110"/>
      <c r="V28" s="110"/>
    </row>
    <row r="29" spans="1:26" x14ac:dyDescent="0.25"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 t="s">
        <v>164</v>
      </c>
      <c r="V29" s="110"/>
    </row>
    <row r="30" spans="1:26" x14ac:dyDescent="0.25">
      <c r="A30" t="s">
        <v>218</v>
      </c>
      <c r="E30" s="110"/>
      <c r="F30" s="110"/>
      <c r="G30" s="110"/>
      <c r="H30" s="110"/>
      <c r="I30" s="110"/>
      <c r="J30" s="110" t="s">
        <v>217</v>
      </c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</row>
    <row r="31" spans="1:26" ht="33.75" customHeight="1" x14ac:dyDescent="0.25">
      <c r="A31" s="263" t="s">
        <v>4</v>
      </c>
      <c r="B31" s="262" t="s">
        <v>1</v>
      </c>
      <c r="C31" s="262"/>
      <c r="D31" s="262"/>
      <c r="E31" s="264" t="s">
        <v>2</v>
      </c>
      <c r="F31" s="266" t="s">
        <v>28</v>
      </c>
      <c r="G31" s="262" t="s">
        <v>31</v>
      </c>
      <c r="H31" s="262"/>
      <c r="I31" s="262"/>
      <c r="J31" s="262"/>
      <c r="K31" s="262" t="s">
        <v>30</v>
      </c>
      <c r="L31" s="262"/>
      <c r="M31" s="262"/>
      <c r="N31" s="262"/>
      <c r="O31" s="262" t="s">
        <v>32</v>
      </c>
      <c r="P31" s="262"/>
      <c r="Q31" s="262"/>
      <c r="R31" s="262"/>
      <c r="S31" s="262" t="s">
        <v>33</v>
      </c>
      <c r="T31" s="262"/>
      <c r="U31" s="262"/>
      <c r="V31" s="260"/>
      <c r="W31" s="262" t="s">
        <v>34</v>
      </c>
      <c r="X31" s="262"/>
      <c r="Y31" s="262"/>
      <c r="Z31" s="262"/>
    </row>
    <row r="32" spans="1:26" ht="60" x14ac:dyDescent="0.25">
      <c r="A32" s="263"/>
      <c r="B32" s="262"/>
      <c r="C32" s="262"/>
      <c r="D32" s="262"/>
      <c r="E32" s="265"/>
      <c r="F32" s="267"/>
      <c r="G32" s="4" t="s">
        <v>29</v>
      </c>
      <c r="H32" s="4" t="s">
        <v>13</v>
      </c>
      <c r="I32" s="5" t="s">
        <v>14</v>
      </c>
      <c r="J32" s="4" t="s">
        <v>25</v>
      </c>
      <c r="K32" s="4" t="s">
        <v>29</v>
      </c>
      <c r="L32" s="4" t="s">
        <v>13</v>
      </c>
      <c r="M32" s="5" t="s">
        <v>14</v>
      </c>
      <c r="N32" s="4" t="s">
        <v>25</v>
      </c>
      <c r="O32" s="4" t="s">
        <v>29</v>
      </c>
      <c r="P32" s="4" t="s">
        <v>13</v>
      </c>
      <c r="Q32" s="4" t="s">
        <v>165</v>
      </c>
      <c r="R32" s="4" t="s">
        <v>25</v>
      </c>
      <c r="S32" s="4" t="s">
        <v>29</v>
      </c>
      <c r="T32" s="4" t="s">
        <v>13</v>
      </c>
      <c r="U32" s="4" t="s">
        <v>165</v>
      </c>
      <c r="V32" s="12" t="s">
        <v>25</v>
      </c>
      <c r="W32" s="4" t="s">
        <v>29</v>
      </c>
      <c r="X32" s="4" t="s">
        <v>13</v>
      </c>
      <c r="Y32" s="4" t="s">
        <v>23</v>
      </c>
      <c r="Z32" s="4" t="s">
        <v>25</v>
      </c>
    </row>
    <row r="33" spans="1:26" x14ac:dyDescent="0.25">
      <c r="A33" s="6" t="s">
        <v>8</v>
      </c>
      <c r="B33" s="259" t="s">
        <v>10</v>
      </c>
      <c r="C33" s="259"/>
      <c r="D33" s="259"/>
      <c r="E33" s="5" t="s">
        <v>9</v>
      </c>
      <c r="F33" s="7">
        <v>2.5</v>
      </c>
      <c r="G33" s="7">
        <v>237</v>
      </c>
      <c r="H33" s="7">
        <f>F33*G33</f>
        <v>592.5</v>
      </c>
      <c r="I33" s="7">
        <v>10</v>
      </c>
      <c r="J33" s="7">
        <f>H33+(H33*10%)</f>
        <v>651.75</v>
      </c>
      <c r="K33" s="7">
        <v>58</v>
      </c>
      <c r="L33" s="7">
        <f>K33*F33</f>
        <v>145</v>
      </c>
      <c r="M33" s="7"/>
      <c r="N33" s="7">
        <v>145</v>
      </c>
      <c r="O33" s="7">
        <v>89</v>
      </c>
      <c r="P33" s="7">
        <f>O33*F33</f>
        <v>222.5</v>
      </c>
      <c r="Q33" s="7">
        <v>-40</v>
      </c>
      <c r="R33" s="7">
        <f>P33+(P33*Q33%)</f>
        <v>133.5</v>
      </c>
      <c r="S33" s="7">
        <v>123</v>
      </c>
      <c r="T33" s="7">
        <f>S33*F33</f>
        <v>307.5</v>
      </c>
      <c r="U33" s="11">
        <v>10</v>
      </c>
      <c r="V33" s="17">
        <f>T33+(T33*U33%)</f>
        <v>338.25</v>
      </c>
      <c r="W33" s="7">
        <v>83</v>
      </c>
      <c r="X33" s="7">
        <f>F33*W33</f>
        <v>207.5</v>
      </c>
      <c r="Y33" s="7">
        <v>10</v>
      </c>
      <c r="Z33" s="7">
        <f>X33+(X33*10%)</f>
        <v>228.25</v>
      </c>
    </row>
    <row r="34" spans="1:26" x14ac:dyDescent="0.25">
      <c r="A34" s="6" t="s">
        <v>17</v>
      </c>
      <c r="B34" s="259" t="s">
        <v>18</v>
      </c>
      <c r="C34" s="259"/>
      <c r="D34" s="259"/>
      <c r="E34" s="8" t="s">
        <v>19</v>
      </c>
      <c r="F34" s="7">
        <v>500</v>
      </c>
      <c r="G34" s="7">
        <v>237</v>
      </c>
      <c r="H34" s="7">
        <f>G34*F34</f>
        <v>118500</v>
      </c>
      <c r="I34" s="108">
        <v>32</v>
      </c>
      <c r="J34" s="7">
        <v>155560</v>
      </c>
      <c r="K34" s="7">
        <v>58</v>
      </c>
      <c r="L34" s="7">
        <f>K34*F34</f>
        <v>29000</v>
      </c>
      <c r="M34" s="7">
        <v>58</v>
      </c>
      <c r="N34" s="7">
        <v>53010</v>
      </c>
      <c r="O34" s="11">
        <v>89</v>
      </c>
      <c r="P34" s="11">
        <f>O34*F34</f>
        <v>44500</v>
      </c>
      <c r="Q34" s="11">
        <v>65</v>
      </c>
      <c r="R34" s="11">
        <v>73425</v>
      </c>
      <c r="S34" s="7">
        <v>123</v>
      </c>
      <c r="T34" s="7">
        <f>F34*S34</f>
        <v>61500</v>
      </c>
      <c r="U34" s="11">
        <v>25</v>
      </c>
      <c r="V34" s="30">
        <v>76875</v>
      </c>
      <c r="W34" s="7">
        <v>83</v>
      </c>
      <c r="X34" s="7">
        <f>F34*W34</f>
        <v>41500</v>
      </c>
      <c r="Y34" s="7"/>
      <c r="Z34" s="7">
        <v>41500</v>
      </c>
    </row>
    <row r="35" spans="1:26" x14ac:dyDescent="0.25">
      <c r="A35" s="6" t="s">
        <v>20</v>
      </c>
      <c r="B35" s="259" t="s">
        <v>21</v>
      </c>
      <c r="C35" s="259"/>
      <c r="D35" s="259"/>
      <c r="E35" s="8" t="s">
        <v>22</v>
      </c>
      <c r="F35" s="7">
        <v>8</v>
      </c>
      <c r="G35" s="7">
        <v>237</v>
      </c>
      <c r="H35" s="7">
        <f>F35*G35</f>
        <v>1896</v>
      </c>
      <c r="I35" s="7">
        <v>20</v>
      </c>
      <c r="J35" s="7">
        <f>H35+(H35*20%)</f>
        <v>2275.1999999999998</v>
      </c>
      <c r="K35" s="7">
        <v>58</v>
      </c>
      <c r="L35" s="7">
        <f>F35*K35</f>
        <v>464</v>
      </c>
      <c r="M35" s="7"/>
      <c r="N35" s="7">
        <f>L35</f>
        <v>464</v>
      </c>
      <c r="O35" s="7">
        <v>89</v>
      </c>
      <c r="P35" s="7">
        <f>F35*O35</f>
        <v>712</v>
      </c>
      <c r="Q35" s="7"/>
      <c r="R35" s="41">
        <f>P35</f>
        <v>712</v>
      </c>
      <c r="S35" s="7">
        <v>123</v>
      </c>
      <c r="T35" s="7">
        <f>F35*S35</f>
        <v>984</v>
      </c>
      <c r="U35" s="7">
        <v>20</v>
      </c>
      <c r="V35" s="109">
        <f>T35+(T35*20%)</f>
        <v>1180.8</v>
      </c>
      <c r="W35" s="7">
        <v>83</v>
      </c>
      <c r="X35" s="7">
        <f>F35*W35</f>
        <v>664</v>
      </c>
      <c r="Y35" s="7">
        <v>10</v>
      </c>
      <c r="Z35" s="7">
        <f>X35+(X35*10%)</f>
        <v>730.4</v>
      </c>
    </row>
    <row r="36" spans="1:26" x14ac:dyDescent="0.25">
      <c r="A36" s="6" t="s">
        <v>27</v>
      </c>
      <c r="B36" s="259" t="s">
        <v>24</v>
      </c>
      <c r="C36" s="259"/>
      <c r="D36" s="259"/>
      <c r="E36" s="8" t="s">
        <v>22</v>
      </c>
      <c r="F36" s="7">
        <v>8</v>
      </c>
      <c r="G36" s="7">
        <v>237</v>
      </c>
      <c r="H36" s="7">
        <f>F36*G36</f>
        <v>1896</v>
      </c>
      <c r="I36" s="7">
        <v>20</v>
      </c>
      <c r="J36" s="7">
        <f>H36+(H36*20%)</f>
        <v>2275.1999999999998</v>
      </c>
      <c r="K36" s="7">
        <v>58</v>
      </c>
      <c r="L36" s="7">
        <f>K36*F36</f>
        <v>464</v>
      </c>
      <c r="M36" s="7"/>
      <c r="N36" s="7">
        <f>L36</f>
        <v>464</v>
      </c>
      <c r="O36" s="7">
        <v>89</v>
      </c>
      <c r="P36" s="7">
        <f>F36*O36</f>
        <v>712</v>
      </c>
      <c r="Q36" s="7"/>
      <c r="R36" s="41">
        <f>P36</f>
        <v>712</v>
      </c>
      <c r="S36" s="7">
        <v>123</v>
      </c>
      <c r="T36" s="7">
        <f>F36*S36</f>
        <v>984</v>
      </c>
      <c r="U36" s="7">
        <v>20</v>
      </c>
      <c r="V36" s="109">
        <f>T36+(T36*20%)</f>
        <v>1180.8</v>
      </c>
      <c r="W36" s="7">
        <v>83</v>
      </c>
      <c r="X36" s="7">
        <f>F36*W36</f>
        <v>664</v>
      </c>
      <c r="Y36" s="7">
        <v>10</v>
      </c>
      <c r="Z36" s="7">
        <f>X36+(X36*10%)</f>
        <v>730.4</v>
      </c>
    </row>
    <row r="39" spans="1:26" ht="49.5" customHeight="1" x14ac:dyDescent="0.25">
      <c r="A39" s="263" t="s">
        <v>4</v>
      </c>
      <c r="B39" s="262" t="s">
        <v>1</v>
      </c>
      <c r="C39" s="262"/>
      <c r="D39" s="262"/>
      <c r="E39" s="264" t="s">
        <v>2</v>
      </c>
      <c r="F39" s="266" t="s">
        <v>11</v>
      </c>
      <c r="G39" s="260" t="s">
        <v>5</v>
      </c>
      <c r="H39" s="261"/>
      <c r="I39" s="261"/>
      <c r="J39" s="261"/>
      <c r="K39" s="260" t="s">
        <v>6</v>
      </c>
      <c r="L39" s="261"/>
      <c r="M39" s="261"/>
      <c r="N39" s="261"/>
      <c r="O39" s="260" t="s">
        <v>7</v>
      </c>
      <c r="P39" s="261"/>
      <c r="Q39" s="261"/>
      <c r="R39" s="261"/>
      <c r="S39" s="260" t="s">
        <v>15</v>
      </c>
      <c r="T39" s="261"/>
      <c r="U39" s="261"/>
      <c r="V39" s="261"/>
      <c r="W39" s="262" t="s">
        <v>16</v>
      </c>
      <c r="X39" s="262"/>
      <c r="Y39" s="262"/>
      <c r="Z39" s="262"/>
    </row>
    <row r="40" spans="1:26" ht="60" x14ac:dyDescent="0.25">
      <c r="A40" s="263"/>
      <c r="B40" s="262"/>
      <c r="C40" s="262"/>
      <c r="D40" s="262"/>
      <c r="E40" s="265"/>
      <c r="F40" s="267"/>
      <c r="G40" s="4" t="s">
        <v>12</v>
      </c>
      <c r="H40" s="4" t="s">
        <v>13</v>
      </c>
      <c r="I40" s="5" t="s">
        <v>14</v>
      </c>
      <c r="J40" s="4" t="s">
        <v>25</v>
      </c>
      <c r="K40" s="4" t="s">
        <v>12</v>
      </c>
      <c r="L40" s="4" t="s">
        <v>13</v>
      </c>
      <c r="M40" s="5" t="s">
        <v>14</v>
      </c>
      <c r="N40" s="4" t="s">
        <v>25</v>
      </c>
      <c r="O40" s="4" t="s">
        <v>12</v>
      </c>
      <c r="P40" s="4" t="s">
        <v>13</v>
      </c>
      <c r="Q40" s="5" t="s">
        <v>3</v>
      </c>
      <c r="R40" s="4" t="s">
        <v>25</v>
      </c>
      <c r="S40" s="4" t="s">
        <v>12</v>
      </c>
      <c r="T40" s="4" t="s">
        <v>13</v>
      </c>
      <c r="U40" s="5" t="s">
        <v>3</v>
      </c>
      <c r="V40" s="12" t="s">
        <v>25</v>
      </c>
      <c r="W40" s="4" t="s">
        <v>12</v>
      </c>
      <c r="X40" s="4" t="s">
        <v>13</v>
      </c>
      <c r="Y40" s="5" t="s">
        <v>23</v>
      </c>
      <c r="Z40" s="4" t="s">
        <v>25</v>
      </c>
    </row>
    <row r="41" spans="1:26" x14ac:dyDescent="0.25">
      <c r="A41" s="6" t="s">
        <v>8</v>
      </c>
      <c r="B41" s="259" t="s">
        <v>10</v>
      </c>
      <c r="C41" s="259"/>
      <c r="D41" s="259"/>
      <c r="E41" s="5" t="s">
        <v>9</v>
      </c>
      <c r="F41" s="7">
        <v>1.5</v>
      </c>
      <c r="G41" s="7">
        <f>758+29+87</f>
        <v>874</v>
      </c>
      <c r="H41" s="7">
        <f>F41*G41</f>
        <v>1311</v>
      </c>
      <c r="I41" s="7">
        <v>-10</v>
      </c>
      <c r="J41" s="7">
        <f>H41-(H41*10%)</f>
        <v>1179.9000000000001</v>
      </c>
      <c r="K41" s="7">
        <v>299</v>
      </c>
      <c r="L41" s="7">
        <f>F41*K41</f>
        <v>448.5</v>
      </c>
      <c r="M41" s="7">
        <v>13</v>
      </c>
      <c r="N41" s="7">
        <f>L41+(L41*13%)</f>
        <v>506.80500000000001</v>
      </c>
      <c r="O41" s="7">
        <f>278</f>
        <v>278</v>
      </c>
      <c r="P41" s="7">
        <f>F41*O41</f>
        <v>417</v>
      </c>
      <c r="Q41" s="7"/>
      <c r="R41" s="7">
        <f>P41</f>
        <v>417</v>
      </c>
      <c r="S41" s="7">
        <f>30+17</f>
        <v>47</v>
      </c>
      <c r="T41" s="7">
        <f>(30*F41)+(17*2.5)</f>
        <v>87.5</v>
      </c>
      <c r="U41" s="7">
        <v>150</v>
      </c>
      <c r="V41" s="17">
        <f>T41+(T41*150%)</f>
        <v>218.75</v>
      </c>
      <c r="W41" s="7">
        <f>81+36</f>
        <v>117</v>
      </c>
      <c r="X41" s="7">
        <f>(81*F41)+(36*F33)</f>
        <v>211.5</v>
      </c>
      <c r="Y41" s="7">
        <v>60</v>
      </c>
      <c r="Z41" s="7">
        <f>X41+(X41*60%)</f>
        <v>338.4</v>
      </c>
    </row>
    <row r="42" spans="1:26" x14ac:dyDescent="0.25">
      <c r="A42" s="6" t="s">
        <v>17</v>
      </c>
      <c r="B42" s="259" t="s">
        <v>18</v>
      </c>
      <c r="C42" s="259"/>
      <c r="D42" s="259"/>
      <c r="E42" s="8" t="s">
        <v>19</v>
      </c>
      <c r="F42" s="7">
        <v>300</v>
      </c>
      <c r="G42" s="7">
        <f>758+29+87</f>
        <v>874</v>
      </c>
      <c r="H42" s="7">
        <f>F42*G42</f>
        <v>262200</v>
      </c>
      <c r="I42" s="7">
        <v>-50</v>
      </c>
      <c r="J42" s="7">
        <f>H42-(H42:H43*50%)</f>
        <v>131100</v>
      </c>
      <c r="K42" s="7">
        <v>299</v>
      </c>
      <c r="L42" s="7">
        <f>F42*K42</f>
        <v>89700</v>
      </c>
      <c r="M42" s="7">
        <v>-5</v>
      </c>
      <c r="N42" s="7">
        <f>L42-(L42*5%)</f>
        <v>85215</v>
      </c>
      <c r="O42" s="7">
        <f>278+89</f>
        <v>367</v>
      </c>
      <c r="P42" s="7">
        <f>(278*F42)+(89*F34)</f>
        <v>127900</v>
      </c>
      <c r="Q42" s="7">
        <v>85</v>
      </c>
      <c r="R42" s="7">
        <f>P42+(P42*85%)</f>
        <v>236615</v>
      </c>
      <c r="S42" s="7">
        <f>30+17</f>
        <v>47</v>
      </c>
      <c r="T42" s="7">
        <f>(30*F42)+(17*F34)</f>
        <v>17500</v>
      </c>
      <c r="U42" s="7">
        <v>70</v>
      </c>
      <c r="V42" s="17">
        <f>T42+(T42*70%)</f>
        <v>29750</v>
      </c>
      <c r="W42" s="7">
        <f>81+36</f>
        <v>117</v>
      </c>
      <c r="X42" s="7">
        <f>(81*F42)+(36*F34)</f>
        <v>42300</v>
      </c>
      <c r="Y42" s="7">
        <v>90</v>
      </c>
      <c r="Z42" s="7">
        <f>X42+(X42*90%)</f>
        <v>80370</v>
      </c>
    </row>
    <row r="43" spans="1:26" x14ac:dyDescent="0.25">
      <c r="A43" s="6" t="s">
        <v>20</v>
      </c>
      <c r="B43" s="259" t="s">
        <v>21</v>
      </c>
      <c r="C43" s="259"/>
      <c r="D43" s="259"/>
      <c r="E43" s="8" t="s">
        <v>22</v>
      </c>
      <c r="F43" s="7">
        <v>2.2000000000000002</v>
      </c>
      <c r="G43" s="7">
        <f>758+29+87</f>
        <v>874</v>
      </c>
      <c r="H43" s="7">
        <f>(758*2.2*75%)+(29*2.2*30%)+(87*8)</f>
        <v>1965.8400000000001</v>
      </c>
      <c r="I43" s="7">
        <v>-20</v>
      </c>
      <c r="J43" s="7">
        <f>H43-(H43*20%)</f>
        <v>1572.672</v>
      </c>
      <c r="K43" s="7">
        <v>299</v>
      </c>
      <c r="L43" s="7">
        <f>F43*K43</f>
        <v>657.80000000000007</v>
      </c>
      <c r="M43" s="7">
        <v>10</v>
      </c>
      <c r="N43" s="7">
        <f>L43+(L43*10%)</f>
        <v>723.58</v>
      </c>
      <c r="O43" s="7">
        <f>278+89</f>
        <v>367</v>
      </c>
      <c r="P43" s="7">
        <f>(2.2*276)+(89*8)</f>
        <v>1319.2</v>
      </c>
      <c r="Q43" s="7"/>
      <c r="R43" s="7">
        <f>P43</f>
        <v>1319.2</v>
      </c>
      <c r="S43" s="7">
        <f>30+17</f>
        <v>47</v>
      </c>
      <c r="T43" s="7">
        <f>(2.2*30)+(8*17)</f>
        <v>202</v>
      </c>
      <c r="U43" s="7"/>
      <c r="V43" s="17">
        <v>202</v>
      </c>
      <c r="W43" s="7">
        <f>81+36</f>
        <v>117</v>
      </c>
      <c r="X43" s="7">
        <f>(81*2.2)+(36*8)</f>
        <v>466.20000000000005</v>
      </c>
      <c r="Y43" s="7">
        <v>60</v>
      </c>
      <c r="Z43" s="35">
        <f>X43+(X43*60%)</f>
        <v>745.92000000000007</v>
      </c>
    </row>
    <row r="44" spans="1:26" x14ac:dyDescent="0.25">
      <c r="A44" s="6" t="s">
        <v>27</v>
      </c>
      <c r="B44" s="259" t="s">
        <v>24</v>
      </c>
      <c r="C44" s="259"/>
      <c r="D44" s="259"/>
      <c r="E44" s="8" t="s">
        <v>22</v>
      </c>
      <c r="F44" s="7">
        <v>2.2000000000000002</v>
      </c>
      <c r="G44" s="7">
        <f>758+29+87</f>
        <v>874</v>
      </c>
      <c r="H44" s="7">
        <f>(758*2.2*75%)+(29*2.2*30%)+(87*8)</f>
        <v>1965.8400000000001</v>
      </c>
      <c r="I44" s="7">
        <v>-20</v>
      </c>
      <c r="J44" s="7">
        <f>H44-(H44*20%)</f>
        <v>1572.672</v>
      </c>
      <c r="K44" s="7">
        <v>299</v>
      </c>
      <c r="L44" s="7">
        <f>F44*K44</f>
        <v>657.80000000000007</v>
      </c>
      <c r="M44" s="7">
        <v>10</v>
      </c>
      <c r="N44" s="7">
        <f>L44+(L44*10%)</f>
        <v>723.58</v>
      </c>
      <c r="O44" s="7">
        <f>278+89</f>
        <v>367</v>
      </c>
      <c r="P44" s="7">
        <f>(2.2*276)+(89*8)</f>
        <v>1319.2</v>
      </c>
      <c r="Q44" s="7"/>
      <c r="R44" s="7">
        <f>P44</f>
        <v>1319.2</v>
      </c>
      <c r="S44" s="7">
        <f>30+17</f>
        <v>47</v>
      </c>
      <c r="T44" s="7">
        <f>(2.2*41)+(8*18)</f>
        <v>234.2</v>
      </c>
      <c r="U44" s="7">
        <v>-90</v>
      </c>
      <c r="V44" s="17">
        <v>50</v>
      </c>
      <c r="W44" s="7">
        <f>81+36</f>
        <v>117</v>
      </c>
      <c r="X44" s="7">
        <f>(81*2.2)+(36*8)</f>
        <v>466.20000000000005</v>
      </c>
      <c r="Y44" s="7">
        <v>60</v>
      </c>
      <c r="Z44" s="35">
        <f>X44+(X44*60%)</f>
        <v>745.92000000000007</v>
      </c>
    </row>
  </sheetData>
  <mergeCells count="55">
    <mergeCell ref="B34:D34"/>
    <mergeCell ref="B35:D35"/>
    <mergeCell ref="B36:D36"/>
    <mergeCell ref="K31:N31"/>
    <mergeCell ref="O31:R31"/>
    <mergeCell ref="S31:V31"/>
    <mergeCell ref="W31:Z31"/>
    <mergeCell ref="B33:D33"/>
    <mergeCell ref="A31:A32"/>
    <mergeCell ref="B31:D32"/>
    <mergeCell ref="E31:E32"/>
    <mergeCell ref="F31:F32"/>
    <mergeCell ref="G31:J31"/>
    <mergeCell ref="A20:Z20"/>
    <mergeCell ref="A4:A5"/>
    <mergeCell ref="E4:E5"/>
    <mergeCell ref="F4:F5"/>
    <mergeCell ref="G4:J4"/>
    <mergeCell ref="K4:N4"/>
    <mergeCell ref="O4:R4"/>
    <mergeCell ref="S4:V4"/>
    <mergeCell ref="W4:Z4"/>
    <mergeCell ref="A19:Z19"/>
    <mergeCell ref="B8:D8"/>
    <mergeCell ref="B9:D9"/>
    <mergeCell ref="B4:D5"/>
    <mergeCell ref="A11:A12"/>
    <mergeCell ref="B11:D12"/>
    <mergeCell ref="E11:E12"/>
    <mergeCell ref="B6:D6"/>
    <mergeCell ref="B7:D7"/>
    <mergeCell ref="W11:Z11"/>
    <mergeCell ref="A18:Z18"/>
    <mergeCell ref="B13:D13"/>
    <mergeCell ref="B14:D14"/>
    <mergeCell ref="B15:D15"/>
    <mergeCell ref="B16:D16"/>
    <mergeCell ref="F11:F12"/>
    <mergeCell ref="G11:J11"/>
    <mergeCell ref="K11:N11"/>
    <mergeCell ref="O11:R11"/>
    <mergeCell ref="S11:V11"/>
    <mergeCell ref="S39:V39"/>
    <mergeCell ref="W39:Z39"/>
    <mergeCell ref="B41:D41"/>
    <mergeCell ref="A39:A40"/>
    <mergeCell ref="B39:D40"/>
    <mergeCell ref="E39:E40"/>
    <mergeCell ref="F39:F40"/>
    <mergeCell ref="G39:J39"/>
    <mergeCell ref="B42:D42"/>
    <mergeCell ref="B43:D43"/>
    <mergeCell ref="B44:D44"/>
    <mergeCell ref="K39:N39"/>
    <mergeCell ref="O39:R39"/>
  </mergeCells>
  <pageMargins left="0.11811023622047245" right="0.11811023622047245" top="0.74803149606299213" bottom="0.74803149606299213" header="0.31496062992125984" footer="0.31496062992125984"/>
  <pageSetup paperSize="9" scale="80" fitToHeight="0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B181"/>
  <sheetViews>
    <sheetView showGridLines="0" topLeftCell="A64" workbookViewId="0">
      <selection activeCell="J71" sqref="J71"/>
    </sheetView>
  </sheetViews>
  <sheetFormatPr defaultRowHeight="15" x14ac:dyDescent="0.25"/>
  <cols>
    <col min="1" max="1" width="5" customWidth="1"/>
    <col min="4" max="4" width="3.28515625" customWidth="1"/>
    <col min="6" max="6" width="8.5703125" customWidth="1"/>
    <col min="7" max="7" width="5.85546875" customWidth="1"/>
    <col min="8" max="8" width="12.28515625" customWidth="1"/>
    <col min="9" max="9" width="4.5703125" customWidth="1"/>
    <col min="10" max="10" width="12.28515625" customWidth="1"/>
    <col min="11" max="11" width="10.85546875" customWidth="1"/>
    <col min="12" max="12" width="11.28515625" customWidth="1"/>
    <col min="13" max="13" width="13.5703125" customWidth="1"/>
    <col min="14" max="14" width="12.85546875" customWidth="1"/>
    <col min="15" max="15" width="10.7109375" customWidth="1"/>
    <col min="16" max="16" width="10.85546875" customWidth="1"/>
    <col min="17" max="17" width="10.140625" customWidth="1"/>
    <col min="18" max="18" width="12.85546875" customWidth="1"/>
    <col min="19" max="19" width="12.7109375" customWidth="1"/>
    <col min="20" max="20" width="12" customWidth="1"/>
    <col min="21" max="21" width="3.85546875" customWidth="1"/>
    <col min="22" max="22" width="10.42578125" customWidth="1"/>
    <col min="23" max="23" width="5.28515625" customWidth="1"/>
    <col min="24" max="24" width="8" customWidth="1"/>
    <col min="25" max="25" width="4.5703125" customWidth="1"/>
    <col min="26" max="26" width="10.28515625" customWidth="1"/>
    <col min="27" max="27" width="10.5703125" customWidth="1"/>
  </cols>
  <sheetData>
    <row r="1" spans="1:27" x14ac:dyDescent="0.25">
      <c r="T1" s="1" t="s">
        <v>231</v>
      </c>
      <c r="U1" s="1"/>
      <c r="V1" s="1"/>
      <c r="W1" s="1"/>
    </row>
    <row r="2" spans="1:27" x14ac:dyDescent="0.25">
      <c r="T2" s="1" t="s">
        <v>239</v>
      </c>
      <c r="U2" s="1"/>
      <c r="V2" s="1"/>
      <c r="W2" s="1"/>
    </row>
    <row r="3" spans="1:27" x14ac:dyDescent="0.25">
      <c r="T3" s="1" t="s">
        <v>233</v>
      </c>
      <c r="U3" s="1"/>
      <c r="V3" s="1"/>
      <c r="W3" s="1"/>
    </row>
    <row r="4" spans="1:27" x14ac:dyDescent="0.25">
      <c r="J4" s="121" t="s">
        <v>238</v>
      </c>
      <c r="K4" s="121"/>
      <c r="L4" s="121"/>
      <c r="M4" s="121"/>
      <c r="N4" s="121"/>
      <c r="O4" s="121"/>
      <c r="P4" s="121"/>
      <c r="T4" s="1" t="s">
        <v>241</v>
      </c>
      <c r="U4" s="1"/>
      <c r="V4" s="1"/>
      <c r="W4" s="1"/>
    </row>
    <row r="5" spans="1:27" ht="68.25" customHeight="1" x14ac:dyDescent="0.25">
      <c r="A5" s="324" t="s">
        <v>4</v>
      </c>
      <c r="B5" s="326" t="s">
        <v>71</v>
      </c>
      <c r="C5" s="327"/>
      <c r="D5" s="328"/>
      <c r="E5" s="290" t="s">
        <v>2</v>
      </c>
      <c r="F5" s="276" t="s">
        <v>11</v>
      </c>
      <c r="G5" s="284" t="s">
        <v>5</v>
      </c>
      <c r="H5" s="285"/>
      <c r="I5" s="285"/>
      <c r="J5" s="286"/>
      <c r="K5" s="284" t="s">
        <v>6</v>
      </c>
      <c r="L5" s="285"/>
      <c r="M5" s="285"/>
      <c r="N5" s="286"/>
      <c r="O5" s="284" t="s">
        <v>7</v>
      </c>
      <c r="P5" s="285"/>
      <c r="Q5" s="285"/>
      <c r="R5" s="286"/>
      <c r="S5" s="284" t="s">
        <v>15</v>
      </c>
      <c r="T5" s="285"/>
      <c r="U5" s="285"/>
      <c r="V5" s="286"/>
      <c r="W5" s="284" t="s">
        <v>16</v>
      </c>
      <c r="X5" s="285"/>
      <c r="Y5" s="285"/>
      <c r="Z5" s="286"/>
      <c r="AA5" s="281" t="s">
        <v>223</v>
      </c>
    </row>
    <row r="6" spans="1:27" ht="51" x14ac:dyDescent="0.25">
      <c r="A6" s="325"/>
      <c r="B6" s="329"/>
      <c r="C6" s="330"/>
      <c r="D6" s="331"/>
      <c r="E6" s="291"/>
      <c r="F6" s="277"/>
      <c r="G6" s="47" t="s">
        <v>12</v>
      </c>
      <c r="H6" s="47" t="s">
        <v>13</v>
      </c>
      <c r="I6" s="47" t="s">
        <v>14</v>
      </c>
      <c r="J6" s="47" t="s">
        <v>25</v>
      </c>
      <c r="K6" s="47" t="s">
        <v>12</v>
      </c>
      <c r="L6" s="47" t="s">
        <v>13</v>
      </c>
      <c r="M6" s="47" t="s">
        <v>14</v>
      </c>
      <c r="N6" s="47" t="s">
        <v>25</v>
      </c>
      <c r="O6" s="47" t="s">
        <v>12</v>
      </c>
      <c r="P6" s="47" t="s">
        <v>13</v>
      </c>
      <c r="Q6" s="47" t="s">
        <v>3</v>
      </c>
      <c r="R6" s="47" t="s">
        <v>25</v>
      </c>
      <c r="S6" s="47" t="s">
        <v>12</v>
      </c>
      <c r="T6" s="47" t="s">
        <v>13</v>
      </c>
      <c r="U6" s="47" t="s">
        <v>23</v>
      </c>
      <c r="V6" s="48" t="s">
        <v>25</v>
      </c>
      <c r="W6" s="47" t="s">
        <v>12</v>
      </c>
      <c r="X6" s="47" t="s">
        <v>13</v>
      </c>
      <c r="Y6" s="47" t="s">
        <v>23</v>
      </c>
      <c r="Z6" s="48" t="s">
        <v>25</v>
      </c>
      <c r="AA6" s="281"/>
    </row>
    <row r="7" spans="1:27" x14ac:dyDescent="0.25">
      <c r="A7" s="49" t="s">
        <v>8</v>
      </c>
      <c r="B7" s="287" t="s">
        <v>72</v>
      </c>
      <c r="C7" s="288"/>
      <c r="D7" s="289"/>
      <c r="E7" s="50" t="s">
        <v>73</v>
      </c>
      <c r="F7" s="51">
        <v>2900</v>
      </c>
      <c r="G7" s="51">
        <v>870</v>
      </c>
      <c r="H7" s="51">
        <f>F7*G7</f>
        <v>2523000</v>
      </c>
      <c r="I7" s="51">
        <v>11</v>
      </c>
      <c r="J7" s="51">
        <f>H7+20722+8197</f>
        <v>2551919</v>
      </c>
      <c r="K7" s="51">
        <v>294</v>
      </c>
      <c r="L7" s="51">
        <f>K7*F7-102600</f>
        <v>750000</v>
      </c>
      <c r="M7" s="51"/>
      <c r="N7" s="51">
        <f>L7</f>
        <v>750000</v>
      </c>
      <c r="O7" s="51">
        <v>281</v>
      </c>
      <c r="P7" s="51">
        <f>F7*O7</f>
        <v>814900</v>
      </c>
      <c r="Q7" s="51">
        <v>35</v>
      </c>
      <c r="R7" s="51">
        <v>1072828</v>
      </c>
      <c r="S7" s="51">
        <v>48</v>
      </c>
      <c r="T7" s="51">
        <f>F7*S7</f>
        <v>139200</v>
      </c>
      <c r="U7" s="51">
        <v>195</v>
      </c>
      <c r="V7" s="52">
        <v>215000</v>
      </c>
      <c r="W7" s="51">
        <v>114</v>
      </c>
      <c r="X7" s="51">
        <f>F7*W7</f>
        <v>330600</v>
      </c>
      <c r="Y7" s="51">
        <v>50</v>
      </c>
      <c r="Z7" s="53">
        <v>400000</v>
      </c>
      <c r="AA7" s="51">
        <f>J7+N7+R7+V7+Z7</f>
        <v>4989747</v>
      </c>
    </row>
    <row r="8" spans="1:27" x14ac:dyDescent="0.25">
      <c r="A8" s="49" t="s">
        <v>17</v>
      </c>
      <c r="B8" s="278" t="s">
        <v>79</v>
      </c>
      <c r="C8" s="279"/>
      <c r="D8" s="280"/>
      <c r="E8" s="50" t="s">
        <v>73</v>
      </c>
      <c r="F8" s="51"/>
      <c r="G8" s="51"/>
      <c r="H8" s="51">
        <v>650000</v>
      </c>
      <c r="I8" s="51"/>
      <c r="J8" s="51">
        <f>H8</f>
        <v>650000</v>
      </c>
      <c r="K8" s="51"/>
      <c r="L8" s="51">
        <v>150000</v>
      </c>
      <c r="M8" s="51"/>
      <c r="N8" s="51">
        <f>L8</f>
        <v>150000</v>
      </c>
      <c r="O8" s="51"/>
      <c r="P8" s="51">
        <v>63480</v>
      </c>
      <c r="Q8" s="51">
        <v>325</v>
      </c>
      <c r="R8" s="51">
        <v>150000</v>
      </c>
      <c r="S8" s="51"/>
      <c r="T8" s="51">
        <v>27370</v>
      </c>
      <c r="U8" s="51">
        <v>415</v>
      </c>
      <c r="V8" s="51">
        <v>35000</v>
      </c>
      <c r="W8" s="54"/>
      <c r="X8" s="51">
        <v>12190</v>
      </c>
      <c r="Y8" s="51"/>
      <c r="Z8" s="55">
        <v>100000</v>
      </c>
      <c r="AA8" s="51">
        <f t="shared" ref="AA8:AA19" si="0">J8+N8+R8+V8+Z8</f>
        <v>1085000</v>
      </c>
    </row>
    <row r="9" spans="1:27" x14ac:dyDescent="0.25">
      <c r="A9" s="49" t="s">
        <v>20</v>
      </c>
      <c r="B9" s="314" t="s">
        <v>80</v>
      </c>
      <c r="C9" s="315"/>
      <c r="D9" s="316"/>
      <c r="E9" s="50" t="s">
        <v>73</v>
      </c>
      <c r="F9" s="51">
        <v>700</v>
      </c>
      <c r="G9" s="51">
        <v>870</v>
      </c>
      <c r="H9" s="51">
        <f>F9*G9</f>
        <v>609000</v>
      </c>
      <c r="I9" s="51"/>
      <c r="J9" s="51">
        <f>H9+547</f>
        <v>609547</v>
      </c>
      <c r="K9" s="51"/>
      <c r="L9" s="51">
        <f>F9*K9</f>
        <v>0</v>
      </c>
      <c r="M9" s="51"/>
      <c r="N9" s="51">
        <v>399036</v>
      </c>
      <c r="O9" s="51"/>
      <c r="P9" s="51">
        <f>F9*O9</f>
        <v>0</v>
      </c>
      <c r="Q9" s="51">
        <v>13</v>
      </c>
      <c r="R9" s="51">
        <v>401823</v>
      </c>
      <c r="S9" s="51"/>
      <c r="T9" s="51">
        <f>F9*S9</f>
        <v>0</v>
      </c>
      <c r="U9" s="51">
        <v>45</v>
      </c>
      <c r="V9" s="51">
        <v>397564</v>
      </c>
      <c r="W9" s="51"/>
      <c r="X9" s="51">
        <f>W9*F9</f>
        <v>0</v>
      </c>
      <c r="Y9" s="51">
        <v>165</v>
      </c>
      <c r="Z9" s="55">
        <v>261300</v>
      </c>
      <c r="AA9" s="51">
        <f t="shared" si="0"/>
        <v>2069270</v>
      </c>
    </row>
    <row r="10" spans="1:27" x14ac:dyDescent="0.25">
      <c r="A10" s="49" t="s">
        <v>27</v>
      </c>
      <c r="B10" s="314" t="s">
        <v>81</v>
      </c>
      <c r="C10" s="315"/>
      <c r="D10" s="316"/>
      <c r="E10" s="50" t="s">
        <v>73</v>
      </c>
      <c r="F10" s="51"/>
      <c r="G10" s="51"/>
      <c r="H10" s="51">
        <f>F10*G9</f>
        <v>0</v>
      </c>
      <c r="I10" s="51"/>
      <c r="J10" s="51"/>
      <c r="K10" s="51"/>
      <c r="L10" s="51">
        <f>F10*K9</f>
        <v>0</v>
      </c>
      <c r="M10" s="51"/>
      <c r="N10" s="51"/>
      <c r="O10" s="51"/>
      <c r="P10" s="51">
        <f>O9*F10</f>
        <v>0</v>
      </c>
      <c r="Q10" s="51">
        <v>-54</v>
      </c>
      <c r="R10" s="51"/>
      <c r="S10" s="51"/>
      <c r="T10" s="51">
        <f>F10*S9</f>
        <v>0</v>
      </c>
      <c r="U10" s="51">
        <v>-40</v>
      </c>
      <c r="V10" s="51"/>
      <c r="W10" s="51"/>
      <c r="X10" s="51">
        <f>W9*F10</f>
        <v>0</v>
      </c>
      <c r="Y10" s="51">
        <v>-17</v>
      </c>
      <c r="Z10" s="55"/>
      <c r="AA10" s="51">
        <f t="shared" si="0"/>
        <v>0</v>
      </c>
    </row>
    <row r="11" spans="1:27" x14ac:dyDescent="0.25">
      <c r="A11" s="49" t="s">
        <v>83</v>
      </c>
      <c r="B11" s="314" t="s">
        <v>84</v>
      </c>
      <c r="C11" s="315"/>
      <c r="D11" s="316"/>
      <c r="E11" s="50" t="s">
        <v>73</v>
      </c>
      <c r="F11" s="51">
        <v>1800</v>
      </c>
      <c r="G11" s="51"/>
      <c r="H11" s="51">
        <f>F11*G9</f>
        <v>1566000</v>
      </c>
      <c r="I11" s="51">
        <v>-11</v>
      </c>
      <c r="J11" s="51">
        <f>H11-22511</f>
        <v>1543489</v>
      </c>
      <c r="K11" s="51"/>
      <c r="L11" s="51">
        <f>F11*K9</f>
        <v>0</v>
      </c>
      <c r="M11" s="51">
        <v>43</v>
      </c>
      <c r="N11" s="51">
        <v>797646</v>
      </c>
      <c r="O11" s="51"/>
      <c r="P11" s="51">
        <f>F11*O9</f>
        <v>0</v>
      </c>
      <c r="Q11" s="51">
        <v>73</v>
      </c>
      <c r="R11" s="51">
        <v>664337</v>
      </c>
      <c r="S11" s="51"/>
      <c r="T11" s="51">
        <f>F11*S9</f>
        <v>0</v>
      </c>
      <c r="U11" s="51">
        <v>272</v>
      </c>
      <c r="V11" s="51">
        <v>400000</v>
      </c>
      <c r="W11" s="51"/>
      <c r="X11" s="51">
        <f>F11*W9</f>
        <v>0</v>
      </c>
      <c r="Y11" s="51">
        <v>78</v>
      </c>
      <c r="Z11" s="55">
        <v>430000</v>
      </c>
      <c r="AA11" s="51">
        <f t="shared" si="0"/>
        <v>3835472</v>
      </c>
    </row>
    <row r="12" spans="1:27" x14ac:dyDescent="0.25">
      <c r="A12" s="56" t="s">
        <v>85</v>
      </c>
      <c r="B12" s="314" t="s">
        <v>86</v>
      </c>
      <c r="C12" s="315"/>
      <c r="D12" s="316"/>
      <c r="E12" s="50" t="s">
        <v>73</v>
      </c>
      <c r="F12" s="51">
        <v>120</v>
      </c>
      <c r="G12" s="51"/>
      <c r="H12" s="51">
        <f>F12*G9+2440</f>
        <v>106840</v>
      </c>
      <c r="I12" s="51"/>
      <c r="J12" s="51">
        <f>H12-2840</f>
        <v>104000</v>
      </c>
      <c r="K12" s="51"/>
      <c r="L12" s="51"/>
      <c r="M12" s="51"/>
      <c r="N12" s="51">
        <v>32000</v>
      </c>
      <c r="O12" s="51"/>
      <c r="P12" s="51"/>
      <c r="Q12" s="51"/>
      <c r="R12" s="51">
        <v>277432</v>
      </c>
      <c r="S12" s="51"/>
      <c r="T12" s="51"/>
      <c r="U12" s="51"/>
      <c r="V12" s="51">
        <v>23000</v>
      </c>
      <c r="W12" s="51"/>
      <c r="X12" s="51"/>
      <c r="Y12" s="51"/>
      <c r="Z12" s="55">
        <v>32000</v>
      </c>
      <c r="AA12" s="51">
        <f t="shared" si="0"/>
        <v>468432</v>
      </c>
    </row>
    <row r="13" spans="1:27" x14ac:dyDescent="0.25">
      <c r="A13" s="57" t="s">
        <v>87</v>
      </c>
      <c r="B13" s="321" t="s">
        <v>88</v>
      </c>
      <c r="C13" s="322"/>
      <c r="D13" s="323"/>
      <c r="E13" s="58" t="s">
        <v>73</v>
      </c>
      <c r="F13" s="59">
        <v>2150</v>
      </c>
      <c r="G13" s="59"/>
      <c r="H13" s="59">
        <f>F13*G9</f>
        <v>1870500</v>
      </c>
      <c r="I13" s="59"/>
      <c r="J13" s="59">
        <f>H13+20563</f>
        <v>1891063</v>
      </c>
      <c r="K13" s="59"/>
      <c r="L13" s="59">
        <f>K9*F13</f>
        <v>0</v>
      </c>
      <c r="M13" s="59"/>
      <c r="N13" s="59">
        <v>674499</v>
      </c>
      <c r="O13" s="59"/>
      <c r="P13" s="59">
        <f>F13*O9</f>
        <v>0</v>
      </c>
      <c r="Q13" s="59"/>
      <c r="R13" s="59">
        <v>429413</v>
      </c>
      <c r="S13" s="59"/>
      <c r="T13" s="59"/>
      <c r="U13" s="59"/>
      <c r="V13" s="59">
        <v>186000</v>
      </c>
      <c r="W13" s="59"/>
      <c r="X13" s="59">
        <f>W9*F13</f>
        <v>0</v>
      </c>
      <c r="Y13" s="59"/>
      <c r="Z13" s="60">
        <v>455024</v>
      </c>
      <c r="AA13" s="51">
        <f t="shared" si="0"/>
        <v>3635999</v>
      </c>
    </row>
    <row r="14" spans="1:27" x14ac:dyDescent="0.25">
      <c r="A14" s="56" t="s">
        <v>89</v>
      </c>
      <c r="B14" s="295" t="s">
        <v>95</v>
      </c>
      <c r="C14" s="295"/>
      <c r="D14" s="295"/>
      <c r="E14" s="58" t="s">
        <v>73</v>
      </c>
      <c r="F14" s="51">
        <v>100</v>
      </c>
      <c r="G14" s="51"/>
      <c r="H14" s="51">
        <f>F14*G9</f>
        <v>87000</v>
      </c>
      <c r="I14" s="51"/>
      <c r="J14" s="51">
        <f>H14-2448</f>
        <v>84552</v>
      </c>
      <c r="K14" s="51"/>
      <c r="L14" s="51">
        <f>F14*K9</f>
        <v>0</v>
      </c>
      <c r="M14" s="51"/>
      <c r="N14" s="51">
        <v>31200</v>
      </c>
      <c r="O14" s="51"/>
      <c r="P14" s="51">
        <f>F14*O9</f>
        <v>0</v>
      </c>
      <c r="Q14" s="51"/>
      <c r="R14" s="51">
        <v>28704</v>
      </c>
      <c r="S14" s="51"/>
      <c r="T14" s="51">
        <f>S9*F14</f>
        <v>0</v>
      </c>
      <c r="U14" s="51"/>
      <c r="V14" s="51">
        <v>6136</v>
      </c>
      <c r="W14" s="51"/>
      <c r="X14" s="51">
        <v>12900</v>
      </c>
      <c r="Y14" s="51"/>
      <c r="Z14" s="55">
        <v>13416</v>
      </c>
      <c r="AA14" s="51">
        <f t="shared" si="0"/>
        <v>164008</v>
      </c>
    </row>
    <row r="15" spans="1:27" x14ac:dyDescent="0.25">
      <c r="A15" s="49" t="s">
        <v>91</v>
      </c>
      <c r="B15" s="287" t="s">
        <v>96</v>
      </c>
      <c r="C15" s="288"/>
      <c r="D15" s="289"/>
      <c r="E15" s="58" t="s">
        <v>73</v>
      </c>
      <c r="F15" s="51"/>
      <c r="G15" s="51"/>
      <c r="H15" s="51"/>
      <c r="I15" s="51"/>
      <c r="J15" s="51">
        <v>82104</v>
      </c>
      <c r="K15" s="51"/>
      <c r="L15" s="51"/>
      <c r="M15" s="51"/>
      <c r="N15" s="51">
        <v>114448</v>
      </c>
      <c r="O15" s="51"/>
      <c r="P15" s="51"/>
      <c r="Q15" s="51"/>
      <c r="R15" s="51"/>
      <c r="S15" s="51"/>
      <c r="T15" s="51"/>
      <c r="U15" s="51"/>
      <c r="V15" s="51">
        <v>12448</v>
      </c>
      <c r="W15" s="51"/>
      <c r="X15" s="51"/>
      <c r="Y15" s="51"/>
      <c r="Z15" s="55"/>
      <c r="AA15" s="51">
        <f t="shared" si="0"/>
        <v>209000</v>
      </c>
    </row>
    <row r="16" spans="1:27" s="32" customFormat="1" ht="30" customHeight="1" x14ac:dyDescent="0.25">
      <c r="A16" s="49" t="s">
        <v>93</v>
      </c>
      <c r="B16" s="317" t="s">
        <v>222</v>
      </c>
      <c r="C16" s="318"/>
      <c r="D16" s="319"/>
      <c r="E16" s="58" t="s">
        <v>73</v>
      </c>
      <c r="F16" s="61"/>
      <c r="G16" s="61"/>
      <c r="H16" s="61"/>
      <c r="I16" s="61"/>
      <c r="J16" s="49">
        <f>1780000+40600</f>
        <v>1820600</v>
      </c>
      <c r="K16" s="61"/>
      <c r="L16" s="61"/>
      <c r="M16" s="61"/>
      <c r="N16" s="49">
        <v>836000</v>
      </c>
      <c r="O16" s="61"/>
      <c r="P16" s="61"/>
      <c r="Q16" s="61"/>
      <c r="R16" s="49">
        <v>512000</v>
      </c>
      <c r="S16" s="61"/>
      <c r="T16" s="61"/>
      <c r="U16" s="61"/>
      <c r="V16" s="49">
        <f>100000+6800</f>
        <v>106800</v>
      </c>
      <c r="W16" s="61"/>
      <c r="X16" s="61"/>
      <c r="Y16" s="61"/>
      <c r="Z16" s="62">
        <f>200000+27100</f>
        <v>227100</v>
      </c>
      <c r="AA16" s="51">
        <f t="shared" si="0"/>
        <v>3502500</v>
      </c>
    </row>
    <row r="17" spans="1:27" ht="27" customHeight="1" x14ac:dyDescent="0.25">
      <c r="A17" s="63" t="s">
        <v>99</v>
      </c>
      <c r="B17" s="340" t="s">
        <v>98</v>
      </c>
      <c r="C17" s="341"/>
      <c r="D17" s="342"/>
      <c r="E17" s="58" t="s">
        <v>73</v>
      </c>
      <c r="F17" s="64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60"/>
      <c r="AA17" s="51">
        <f t="shared" si="0"/>
        <v>0</v>
      </c>
    </row>
    <row r="18" spans="1:27" x14ac:dyDescent="0.25">
      <c r="A18" s="49" t="s">
        <v>100</v>
      </c>
      <c r="B18" s="287" t="s">
        <v>90</v>
      </c>
      <c r="C18" s="288"/>
      <c r="D18" s="289"/>
      <c r="E18" s="58" t="s">
        <v>73</v>
      </c>
      <c r="F18" s="61"/>
      <c r="G18" s="51"/>
      <c r="H18" s="51"/>
      <c r="I18" s="51"/>
      <c r="J18" s="51">
        <f>1187375+183430</f>
        <v>1370805</v>
      </c>
      <c r="K18" s="51"/>
      <c r="L18" s="51"/>
      <c r="M18" s="51"/>
      <c r="N18" s="51">
        <f>37249+221734</f>
        <v>258983</v>
      </c>
      <c r="O18" s="51"/>
      <c r="P18" s="51"/>
      <c r="Q18" s="51"/>
      <c r="R18" s="51">
        <f>2909067+95584</f>
        <v>3004651</v>
      </c>
      <c r="S18" s="51"/>
      <c r="T18" s="51"/>
      <c r="U18" s="51"/>
      <c r="V18" s="51">
        <v>102196</v>
      </c>
      <c r="W18" s="51"/>
      <c r="X18" s="51"/>
      <c r="Y18" s="51"/>
      <c r="Z18" s="55">
        <f>1355612+57847</f>
        <v>1413459</v>
      </c>
      <c r="AA18" s="51">
        <f t="shared" si="0"/>
        <v>6150094</v>
      </c>
    </row>
    <row r="19" spans="1:27" x14ac:dyDescent="0.25">
      <c r="A19" s="63" t="s">
        <v>101</v>
      </c>
      <c r="B19" s="335" t="s">
        <v>102</v>
      </c>
      <c r="C19" s="335"/>
      <c r="D19" s="335"/>
      <c r="E19" s="58" t="s">
        <v>73</v>
      </c>
      <c r="F19" s="64"/>
      <c r="G19" s="59"/>
      <c r="H19" s="59"/>
      <c r="I19" s="59"/>
      <c r="J19" s="59">
        <v>5174659</v>
      </c>
      <c r="K19" s="59"/>
      <c r="L19" s="59"/>
      <c r="M19" s="59"/>
      <c r="N19" s="59">
        <v>2685528</v>
      </c>
      <c r="O19" s="59"/>
      <c r="P19" s="59"/>
      <c r="Q19" s="59"/>
      <c r="R19" s="59">
        <v>3223779</v>
      </c>
      <c r="S19" s="59"/>
      <c r="T19" s="59"/>
      <c r="U19" s="59"/>
      <c r="V19" s="59">
        <v>850000</v>
      </c>
      <c r="W19" s="59"/>
      <c r="X19" s="59"/>
      <c r="Y19" s="59"/>
      <c r="Z19" s="60">
        <v>2041307</v>
      </c>
      <c r="AA19" s="51">
        <f t="shared" si="0"/>
        <v>13975273</v>
      </c>
    </row>
    <row r="20" spans="1:27" x14ac:dyDescent="0.25">
      <c r="A20" s="49" t="s">
        <v>220</v>
      </c>
      <c r="B20" s="385" t="s">
        <v>221</v>
      </c>
      <c r="C20" s="386"/>
      <c r="D20" s="387"/>
      <c r="E20" s="58" t="s">
        <v>73</v>
      </c>
      <c r="F20" s="64"/>
      <c r="G20" s="59"/>
      <c r="H20" s="59"/>
      <c r="I20" s="59"/>
      <c r="J20" s="59">
        <v>465700</v>
      </c>
      <c r="K20" s="59"/>
      <c r="L20" s="59"/>
      <c r="M20" s="59"/>
      <c r="N20" s="59">
        <f>78400</f>
        <v>78400</v>
      </c>
      <c r="O20" s="59"/>
      <c r="P20" s="59"/>
      <c r="Q20" s="59"/>
      <c r="R20" s="59">
        <f>472100-40100+31800</f>
        <v>463800</v>
      </c>
      <c r="S20" s="59"/>
      <c r="T20" s="59"/>
      <c r="U20" s="59"/>
      <c r="V20" s="59"/>
      <c r="W20" s="59"/>
      <c r="X20" s="59"/>
      <c r="Y20" s="59"/>
      <c r="Z20" s="60">
        <v>40100</v>
      </c>
      <c r="AA20" s="51">
        <f>J20+N20+R20+V20+Z20</f>
        <v>1048000</v>
      </c>
    </row>
    <row r="21" spans="1:27" x14ac:dyDescent="0.25">
      <c r="A21" s="336" t="s">
        <v>223</v>
      </c>
      <c r="B21" s="337"/>
      <c r="C21" s="337"/>
      <c r="D21" s="338"/>
      <c r="E21" s="65"/>
      <c r="F21" s="65"/>
      <c r="G21" s="65"/>
      <c r="H21" s="65"/>
      <c r="I21" s="65"/>
      <c r="J21" s="65">
        <f>SUM(J7:J20)</f>
        <v>16348438</v>
      </c>
      <c r="K21" s="65"/>
      <c r="L21" s="65"/>
      <c r="M21" s="65"/>
      <c r="N21" s="65">
        <f>SUM(N7:N20)</f>
        <v>6807740</v>
      </c>
      <c r="O21" s="65"/>
      <c r="P21" s="65"/>
      <c r="Q21" s="65"/>
      <c r="R21" s="65">
        <f>SUM(R7:R20)</f>
        <v>10228767</v>
      </c>
      <c r="S21" s="65"/>
      <c r="T21" s="65"/>
      <c r="U21" s="65"/>
      <c r="V21" s="65">
        <f>SUM(V7:V20)</f>
        <v>2334144</v>
      </c>
      <c r="W21" s="65"/>
      <c r="X21" s="65"/>
      <c r="Y21" s="65"/>
      <c r="Z21" s="65">
        <f>SUM(Z7:Z20)</f>
        <v>5413706</v>
      </c>
      <c r="AA21" s="65">
        <f>J21+N21+R21+V21+Z21</f>
        <v>41132795</v>
      </c>
    </row>
    <row r="22" spans="1:27" x14ac:dyDescent="0.25">
      <c r="A22" s="54"/>
      <c r="B22" s="54" t="s">
        <v>113</v>
      </c>
      <c r="C22" s="54"/>
      <c r="D22" s="54"/>
      <c r="E22" s="54"/>
      <c r="F22" s="54"/>
      <c r="G22" s="54"/>
      <c r="H22" s="54"/>
      <c r="I22" s="54"/>
      <c r="J22" s="54">
        <f>J21/G9</f>
        <v>18791.30804597701</v>
      </c>
      <c r="K22" s="54"/>
      <c r="L22" s="54"/>
      <c r="M22" s="54"/>
      <c r="N22" s="54">
        <f>N21/K7</f>
        <v>23155.578231292518</v>
      </c>
      <c r="O22" s="54"/>
      <c r="P22" s="54"/>
      <c r="Q22" s="54"/>
      <c r="R22" s="54">
        <f>R21/O7</f>
        <v>36401.306049822066</v>
      </c>
      <c r="S22" s="54"/>
      <c r="T22" s="54"/>
      <c r="U22" s="54"/>
      <c r="V22" s="54">
        <f>V21/S7</f>
        <v>48628</v>
      </c>
      <c r="W22" s="54"/>
      <c r="X22" s="54"/>
      <c r="Y22" s="54"/>
      <c r="Z22" s="54">
        <f>Z21/W7</f>
        <v>47488.649122807015</v>
      </c>
      <c r="AA22" s="66">
        <f>J22+N22+R22+V22+Z22</f>
        <v>174464.84144989861</v>
      </c>
    </row>
    <row r="25" spans="1:27" ht="30" x14ac:dyDescent="0.25">
      <c r="A25" s="305" t="s">
        <v>224</v>
      </c>
      <c r="B25" s="306"/>
      <c r="C25" s="306"/>
      <c r="D25" s="306"/>
      <c r="E25" s="306"/>
      <c r="F25" s="306"/>
      <c r="G25" s="306"/>
      <c r="H25" s="306"/>
      <c r="I25" s="307"/>
      <c r="J25" s="45" t="s">
        <v>185</v>
      </c>
      <c r="K25" s="45" t="s">
        <v>186</v>
      </c>
      <c r="L25" s="44" t="s">
        <v>187</v>
      </c>
      <c r="M25" s="45" t="s">
        <v>188</v>
      </c>
      <c r="N25" s="45" t="s">
        <v>189</v>
      </c>
      <c r="O25" s="45" t="s">
        <v>183</v>
      </c>
    </row>
    <row r="26" spans="1:27" x14ac:dyDescent="0.25">
      <c r="A26" s="305" t="s">
        <v>170</v>
      </c>
      <c r="B26" s="306"/>
      <c r="C26" s="306"/>
      <c r="D26" s="306"/>
      <c r="E26" s="306"/>
      <c r="F26" s="306"/>
      <c r="G26" s="306"/>
      <c r="H26" s="306"/>
      <c r="I26" s="307"/>
      <c r="J26" s="3">
        <f>SUM(J27:J29)</f>
        <v>7649938</v>
      </c>
      <c r="K26" s="3">
        <f t="shared" ref="K26:O26" si="1">SUM(K27:K29)</f>
        <v>2666547</v>
      </c>
      <c r="L26" s="3">
        <f t="shared" si="1"/>
        <v>2934177</v>
      </c>
      <c r="M26" s="3">
        <f t="shared" si="1"/>
        <v>584384</v>
      </c>
      <c r="N26" s="3">
        <f t="shared" si="1"/>
        <v>1267640</v>
      </c>
      <c r="O26" s="3">
        <f t="shared" si="1"/>
        <v>15102686</v>
      </c>
    </row>
    <row r="27" spans="1:27" ht="30" customHeight="1" x14ac:dyDescent="0.25">
      <c r="A27" s="308" t="s">
        <v>178</v>
      </c>
      <c r="B27" s="309"/>
      <c r="C27" s="309"/>
      <c r="D27" s="309"/>
      <c r="E27" s="309"/>
      <c r="F27" s="309"/>
      <c r="G27" s="309"/>
      <c r="H27" s="309"/>
      <c r="I27" s="310"/>
      <c r="J27" s="3"/>
      <c r="K27" s="3"/>
      <c r="L27" s="3"/>
      <c r="M27" s="3"/>
      <c r="N27" s="3"/>
      <c r="O27" s="3"/>
    </row>
    <row r="28" spans="1:27" ht="17.25" customHeight="1" x14ac:dyDescent="0.25">
      <c r="A28" s="296" t="s">
        <v>176</v>
      </c>
      <c r="B28" s="297"/>
      <c r="C28" s="297"/>
      <c r="D28" s="297"/>
      <c r="E28" s="297"/>
      <c r="F28" s="297"/>
      <c r="G28" s="297"/>
      <c r="H28" s="297"/>
      <c r="I28" s="298"/>
      <c r="J28" s="43">
        <f>J12+J13+J16</f>
        <v>3815663</v>
      </c>
      <c r="K28" s="43">
        <f>N12+N13+N16+N20</f>
        <v>1620899</v>
      </c>
      <c r="L28" s="43">
        <f>R12+R13+R16</f>
        <v>1218845</v>
      </c>
      <c r="M28" s="43">
        <f>V12+V13+V16+V20</f>
        <v>315800</v>
      </c>
      <c r="N28" s="43">
        <f>Z12+Z13+Z16+Z20</f>
        <v>754224</v>
      </c>
      <c r="O28" s="43">
        <f>SUM(J28:N28)</f>
        <v>7725431</v>
      </c>
    </row>
    <row r="29" spans="1:27" x14ac:dyDescent="0.25">
      <c r="A29" s="296" t="s">
        <v>175</v>
      </c>
      <c r="B29" s="297"/>
      <c r="C29" s="297"/>
      <c r="D29" s="297"/>
      <c r="E29" s="297"/>
      <c r="F29" s="297"/>
      <c r="G29" s="297"/>
      <c r="H29" s="297"/>
      <c r="I29" s="298"/>
      <c r="J29" s="43">
        <f>J7+J8+J14+J15+J20</f>
        <v>3834275</v>
      </c>
      <c r="K29" s="43">
        <f>N7+N8+N14+N15</f>
        <v>1045648</v>
      </c>
      <c r="L29" s="43">
        <f>R7+R8+R20+R14</f>
        <v>1715332</v>
      </c>
      <c r="M29" s="43">
        <f>V7+V8+V14+V15</f>
        <v>268584</v>
      </c>
      <c r="N29" s="43">
        <f>Z7+Z8+Z14+Z15</f>
        <v>513416</v>
      </c>
      <c r="O29" s="43">
        <f>SUM(J29:N29)</f>
        <v>7377255</v>
      </c>
    </row>
    <row r="30" spans="1:27" x14ac:dyDescent="0.25">
      <c r="A30" s="311" t="s">
        <v>177</v>
      </c>
      <c r="B30" s="312"/>
      <c r="C30" s="312"/>
      <c r="D30" s="312"/>
      <c r="E30" s="312"/>
      <c r="F30" s="312"/>
      <c r="G30" s="312"/>
      <c r="H30" s="312"/>
      <c r="I30" s="313"/>
      <c r="J30" s="43">
        <f t="shared" ref="J30:O30" si="2">SUM(J31:J40)</f>
        <v>8698500</v>
      </c>
      <c r="K30" s="43">
        <f t="shared" si="2"/>
        <v>4141193</v>
      </c>
      <c r="L30" s="43">
        <f t="shared" si="2"/>
        <v>7294590</v>
      </c>
      <c r="M30" s="43">
        <f t="shared" si="2"/>
        <v>1749760</v>
      </c>
      <c r="N30" s="43">
        <f t="shared" si="2"/>
        <v>4146066</v>
      </c>
      <c r="O30" s="43">
        <f t="shared" si="2"/>
        <v>26030109</v>
      </c>
    </row>
    <row r="31" spans="1:27" ht="48" customHeight="1" x14ac:dyDescent="0.25">
      <c r="A31" s="308" t="s">
        <v>179</v>
      </c>
      <c r="B31" s="309"/>
      <c r="C31" s="309"/>
      <c r="D31" s="309"/>
      <c r="E31" s="309"/>
      <c r="F31" s="309"/>
      <c r="G31" s="309"/>
      <c r="H31" s="309"/>
      <c r="I31" s="310"/>
      <c r="J31" s="43"/>
      <c r="K31" s="43"/>
      <c r="L31" s="43"/>
      <c r="M31" s="43"/>
      <c r="N31" s="43"/>
      <c r="O31" s="3"/>
    </row>
    <row r="32" spans="1:27" x14ac:dyDescent="0.25">
      <c r="A32" s="296" t="s">
        <v>171</v>
      </c>
      <c r="B32" s="297"/>
      <c r="C32" s="297"/>
      <c r="D32" s="297"/>
      <c r="E32" s="297"/>
      <c r="F32" s="297"/>
      <c r="G32" s="297"/>
      <c r="H32" s="297"/>
      <c r="I32" s="298"/>
      <c r="J32" s="43"/>
      <c r="K32" s="43"/>
      <c r="L32" s="43"/>
      <c r="M32" s="43"/>
      <c r="N32" s="43"/>
      <c r="O32" s="3"/>
    </row>
    <row r="33" spans="1:28" x14ac:dyDescent="0.25">
      <c r="A33" s="36" t="s">
        <v>172</v>
      </c>
      <c r="B33" s="37"/>
      <c r="C33" s="37"/>
      <c r="D33" s="37"/>
      <c r="E33" s="37"/>
      <c r="F33" s="37"/>
      <c r="G33" s="37"/>
      <c r="H33" s="37"/>
      <c r="I33" s="38"/>
      <c r="J33" s="43">
        <f>798262*90%</f>
        <v>718435.8</v>
      </c>
      <c r="K33" s="43">
        <f>412694*90%</f>
        <v>371424.60000000003</v>
      </c>
      <c r="L33" s="43">
        <f>1489855*90%</f>
        <v>1340869.5</v>
      </c>
      <c r="M33" s="43">
        <f>241573*90%</f>
        <v>217415.7</v>
      </c>
      <c r="N33" s="43">
        <f>380760*90%</f>
        <v>342684</v>
      </c>
      <c r="O33" s="43">
        <f>SUM(J33:N33)</f>
        <v>2990829.6000000006</v>
      </c>
    </row>
    <row r="34" spans="1:28" x14ac:dyDescent="0.25">
      <c r="A34" s="296" t="s">
        <v>173</v>
      </c>
      <c r="B34" s="297"/>
      <c r="C34" s="297"/>
      <c r="D34" s="297"/>
      <c r="E34" s="297"/>
      <c r="F34" s="297"/>
      <c r="G34" s="297"/>
      <c r="H34" s="297"/>
      <c r="I34" s="298"/>
      <c r="J34" s="43">
        <f>3698572*50%</f>
        <v>1849286</v>
      </c>
      <c r="K34" s="43">
        <f>1828659*50%</f>
        <v>914329.5</v>
      </c>
      <c r="L34" s="43">
        <f>1403113*50%</f>
        <v>701556.5</v>
      </c>
      <c r="M34" s="43">
        <f>1376643*50%</f>
        <v>688321.5</v>
      </c>
      <c r="N34" s="43">
        <f>1192517*50%</f>
        <v>596258.5</v>
      </c>
      <c r="O34" s="43">
        <f t="shared" ref="O34:O35" si="3">SUM(J34:N34)</f>
        <v>4749752</v>
      </c>
    </row>
    <row r="35" spans="1:28" x14ac:dyDescent="0.25">
      <c r="A35" s="296" t="s">
        <v>174</v>
      </c>
      <c r="B35" s="297"/>
      <c r="C35" s="297"/>
      <c r="D35" s="297"/>
      <c r="E35" s="297"/>
      <c r="F35" s="297"/>
      <c r="G35" s="297"/>
      <c r="H35" s="297"/>
      <c r="I35" s="298"/>
      <c r="J35" s="43">
        <f>194595+283230</f>
        <v>477825</v>
      </c>
      <c r="K35" s="43">
        <f>99441+144734</f>
        <v>244175</v>
      </c>
      <c r="L35" s="43">
        <f>183953+267218</f>
        <v>451171</v>
      </c>
      <c r="M35" s="43">
        <v>134085</v>
      </c>
      <c r="N35" s="43">
        <f>109156+158874</f>
        <v>268030</v>
      </c>
      <c r="O35" s="43">
        <f t="shared" si="3"/>
        <v>1575286</v>
      </c>
    </row>
    <row r="36" spans="1:28" x14ac:dyDescent="0.25">
      <c r="A36" s="296" t="s">
        <v>180</v>
      </c>
      <c r="B36" s="297"/>
      <c r="C36" s="297"/>
      <c r="D36" s="297"/>
      <c r="E36" s="297"/>
      <c r="F36" s="297"/>
      <c r="G36" s="297"/>
      <c r="H36" s="297"/>
      <c r="I36" s="298"/>
      <c r="J36" s="43"/>
      <c r="K36" s="43"/>
      <c r="L36" s="43"/>
      <c r="M36" s="43"/>
      <c r="N36" s="43"/>
      <c r="O36" s="3"/>
    </row>
    <row r="37" spans="1:28" ht="15.75" customHeight="1" x14ac:dyDescent="0.25">
      <c r="A37" s="296" t="s">
        <v>181</v>
      </c>
      <c r="B37" s="297"/>
      <c r="C37" s="297"/>
      <c r="D37" s="297"/>
      <c r="E37" s="297"/>
      <c r="F37" s="297"/>
      <c r="G37" s="297"/>
      <c r="H37" s="297"/>
      <c r="I37" s="298"/>
      <c r="J37" s="43"/>
      <c r="K37" s="43"/>
      <c r="L37" s="43"/>
      <c r="M37" s="43"/>
      <c r="N37" s="43"/>
      <c r="O37" s="3"/>
    </row>
    <row r="38" spans="1:28" ht="15" customHeight="1" x14ac:dyDescent="0.25">
      <c r="A38" s="299" t="s">
        <v>182</v>
      </c>
      <c r="B38" s="300"/>
      <c r="C38" s="300"/>
      <c r="D38" s="300"/>
      <c r="E38" s="300"/>
      <c r="F38" s="300"/>
      <c r="G38" s="300"/>
      <c r="H38" s="300"/>
      <c r="I38" s="301"/>
      <c r="J38" s="43"/>
      <c r="K38" s="43"/>
      <c r="L38" s="43"/>
      <c r="M38" s="43"/>
      <c r="N38" s="43"/>
      <c r="O38" s="3"/>
    </row>
    <row r="39" spans="1:28" x14ac:dyDescent="0.25">
      <c r="A39" s="302"/>
      <c r="B39" s="303"/>
      <c r="C39" s="303"/>
      <c r="D39" s="303"/>
      <c r="E39" s="303"/>
      <c r="F39" s="303"/>
      <c r="G39" s="303"/>
      <c r="H39" s="303"/>
      <c r="I39" s="304"/>
      <c r="J39" s="43">
        <f>(J19-J33-J34-J35)+J9+J18-1500000+J11-19200</f>
        <v>4133753.2</v>
      </c>
      <c r="K39" s="43">
        <f>N9+N18+N19-K33-K34-K35+N11-470220-11400</f>
        <v>2129643.9</v>
      </c>
      <c r="L39" s="43">
        <f>R9+R11+R18+R19-L33-L34-L35-6200-393611</f>
        <v>4401182</v>
      </c>
      <c r="M39" s="43">
        <f>V9+V11+V18+V19-M33-M34-M35-M40</f>
        <v>414453.80000000005</v>
      </c>
      <c r="N39" s="43">
        <f>Z9+Z11+Z18+Z19-N33-N34-N35-6500-40884</f>
        <v>2891709.5</v>
      </c>
      <c r="O39" s="43">
        <f>SUM(J39:N39)</f>
        <v>13970742.4</v>
      </c>
    </row>
    <row r="40" spans="1:28" x14ac:dyDescent="0.25">
      <c r="A40" s="296" t="s">
        <v>175</v>
      </c>
      <c r="B40" s="297"/>
      <c r="C40" s="297"/>
      <c r="D40" s="297"/>
      <c r="E40" s="297"/>
      <c r="F40" s="297"/>
      <c r="G40" s="297"/>
      <c r="H40" s="297"/>
      <c r="I40" s="298"/>
      <c r="J40" s="43">
        <f>1500000+19200</f>
        <v>1519200</v>
      </c>
      <c r="K40" s="43">
        <f>470220+11400</f>
        <v>481620</v>
      </c>
      <c r="L40" s="43">
        <f>6200+63773+329838</f>
        <v>399811</v>
      </c>
      <c r="M40" s="43">
        <f>188884+106600</f>
        <v>295484</v>
      </c>
      <c r="N40" s="43">
        <f>6500+40884</f>
        <v>47384</v>
      </c>
      <c r="O40" s="43">
        <f t="shared" ref="O40:O41" si="4">SUM(J40:N40)</f>
        <v>2743499</v>
      </c>
      <c r="S40" s="31"/>
    </row>
    <row r="41" spans="1:28" x14ac:dyDescent="0.25">
      <c r="A41" s="296" t="s">
        <v>183</v>
      </c>
      <c r="B41" s="297"/>
      <c r="C41" s="297"/>
      <c r="D41" s="297"/>
      <c r="E41" s="297"/>
      <c r="F41" s="297"/>
      <c r="G41" s="297"/>
      <c r="H41" s="297"/>
      <c r="I41" s="298"/>
      <c r="J41" s="43">
        <f>J26+J30</f>
        <v>16348438</v>
      </c>
      <c r="K41" s="43">
        <f>K26+K30</f>
        <v>6807740</v>
      </c>
      <c r="L41" s="43">
        <f>L26+L30</f>
        <v>10228767</v>
      </c>
      <c r="M41" s="43">
        <f>M26+M30</f>
        <v>2334144</v>
      </c>
      <c r="N41" s="43">
        <f>N26+N30</f>
        <v>5413706</v>
      </c>
      <c r="O41" s="43">
        <f t="shared" si="4"/>
        <v>41132795</v>
      </c>
      <c r="Q41" s="31"/>
    </row>
    <row r="42" spans="1:28" x14ac:dyDescent="0.25">
      <c r="A42" s="296" t="s">
        <v>184</v>
      </c>
      <c r="B42" s="297"/>
      <c r="C42" s="297"/>
      <c r="D42" s="297"/>
      <c r="E42" s="297"/>
      <c r="F42" s="297"/>
      <c r="G42" s="297"/>
      <c r="H42" s="297"/>
      <c r="I42" s="298"/>
      <c r="J42" s="43">
        <f>J41/G7</f>
        <v>18791.30804597701</v>
      </c>
      <c r="K42" s="43">
        <f>K41/K7</f>
        <v>23155.578231292518</v>
      </c>
      <c r="L42" s="43">
        <f>L41/O7</f>
        <v>36401.306049822066</v>
      </c>
      <c r="M42" s="43">
        <f>M41/S7</f>
        <v>48628</v>
      </c>
      <c r="N42" s="43">
        <f>N41/W7</f>
        <v>47488.649122807015</v>
      </c>
      <c r="O42" s="3"/>
    </row>
    <row r="43" spans="1:28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1"/>
      <c r="K43" s="31"/>
      <c r="L43" s="31"/>
      <c r="M43" s="31"/>
      <c r="N43" s="31"/>
    </row>
    <row r="44" spans="1:28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1"/>
      <c r="K44" s="31"/>
      <c r="L44" s="31"/>
      <c r="M44" s="31"/>
      <c r="N44" s="31"/>
      <c r="S44" s="1" t="s">
        <v>235</v>
      </c>
      <c r="T44" s="1"/>
      <c r="U44" s="1"/>
      <c r="V44" s="1"/>
    </row>
    <row r="45" spans="1:28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1"/>
      <c r="K45" s="31"/>
      <c r="L45" s="31"/>
      <c r="M45" s="31"/>
      <c r="N45" s="31"/>
      <c r="S45" s="1" t="s">
        <v>239</v>
      </c>
      <c r="T45" s="1"/>
      <c r="U45" s="1"/>
      <c r="V45" s="1"/>
    </row>
    <row r="46" spans="1:28" x14ac:dyDescent="0.25">
      <c r="A46" s="32"/>
      <c r="B46" s="32"/>
      <c r="C46" s="32"/>
      <c r="D46" s="32"/>
      <c r="E46" s="32"/>
      <c r="F46" s="32"/>
      <c r="G46" s="32"/>
      <c r="H46" s="32"/>
      <c r="I46" s="32"/>
      <c r="J46" s="31"/>
      <c r="K46" s="31"/>
      <c r="L46" s="31"/>
      <c r="M46" s="31"/>
      <c r="N46" s="31"/>
      <c r="S46" s="1" t="s">
        <v>233</v>
      </c>
      <c r="T46" s="1"/>
      <c r="U46" s="1"/>
      <c r="V46" s="1"/>
    </row>
    <row r="47" spans="1:28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1"/>
      <c r="K47" s="31"/>
      <c r="L47" s="31"/>
      <c r="M47" s="31"/>
      <c r="N47" s="31"/>
      <c r="S47" s="1" t="s">
        <v>241</v>
      </c>
      <c r="T47" s="1"/>
      <c r="U47" s="1"/>
      <c r="V47" s="1"/>
    </row>
    <row r="48" spans="1:28" x14ac:dyDescent="0.25">
      <c r="A48" s="67"/>
      <c r="B48" s="67"/>
      <c r="C48" s="67"/>
      <c r="D48" s="67"/>
      <c r="E48" s="67"/>
      <c r="F48" s="67"/>
      <c r="G48" s="67"/>
      <c r="H48" s="67"/>
      <c r="I48" s="67"/>
      <c r="J48" s="67" t="s">
        <v>217</v>
      </c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9"/>
    </row>
    <row r="49" spans="1:28" ht="26.25" customHeight="1" x14ac:dyDescent="0.25">
      <c r="A49" s="324" t="s">
        <v>4</v>
      </c>
      <c r="B49" s="326" t="s">
        <v>71</v>
      </c>
      <c r="C49" s="327"/>
      <c r="D49" s="328"/>
      <c r="E49" s="290" t="s">
        <v>2</v>
      </c>
      <c r="F49" s="276" t="s">
        <v>82</v>
      </c>
      <c r="G49" s="284" t="s">
        <v>74</v>
      </c>
      <c r="H49" s="285"/>
      <c r="I49" s="285"/>
      <c r="J49" s="286"/>
      <c r="K49" s="284" t="s">
        <v>75</v>
      </c>
      <c r="L49" s="285"/>
      <c r="M49" s="285"/>
      <c r="N49" s="286"/>
      <c r="O49" s="284" t="s">
        <v>76</v>
      </c>
      <c r="P49" s="285"/>
      <c r="Q49" s="285"/>
      <c r="R49" s="286"/>
      <c r="S49" s="284" t="s">
        <v>77</v>
      </c>
      <c r="T49" s="285"/>
      <c r="U49" s="285"/>
      <c r="V49" s="286"/>
      <c r="W49" s="284" t="s">
        <v>78</v>
      </c>
      <c r="X49" s="285"/>
      <c r="Y49" s="285"/>
      <c r="Z49" s="286"/>
      <c r="AA49" s="281" t="s">
        <v>103</v>
      </c>
      <c r="AB49" s="9"/>
    </row>
    <row r="50" spans="1:28" ht="51" x14ac:dyDescent="0.25">
      <c r="A50" s="325"/>
      <c r="B50" s="329"/>
      <c r="C50" s="330"/>
      <c r="D50" s="331"/>
      <c r="E50" s="291"/>
      <c r="F50" s="277"/>
      <c r="G50" s="47" t="s">
        <v>29</v>
      </c>
      <c r="H50" s="47" t="s">
        <v>13</v>
      </c>
      <c r="I50" s="47" t="s">
        <v>14</v>
      </c>
      <c r="J50" s="47" t="s">
        <v>25</v>
      </c>
      <c r="K50" s="47" t="s">
        <v>12</v>
      </c>
      <c r="L50" s="47" t="s">
        <v>13</v>
      </c>
      <c r="M50" s="47" t="s">
        <v>14</v>
      </c>
      <c r="N50" s="47" t="s">
        <v>25</v>
      </c>
      <c r="O50" s="47" t="s">
        <v>12</v>
      </c>
      <c r="P50" s="47" t="s">
        <v>13</v>
      </c>
      <c r="Q50" s="47" t="s">
        <v>3</v>
      </c>
      <c r="R50" s="47" t="s">
        <v>25</v>
      </c>
      <c r="S50" s="47" t="s">
        <v>12</v>
      </c>
      <c r="T50" s="47" t="s">
        <v>13</v>
      </c>
      <c r="U50" s="47" t="s">
        <v>23</v>
      </c>
      <c r="V50" s="48" t="s">
        <v>25</v>
      </c>
      <c r="W50" s="47" t="s">
        <v>12</v>
      </c>
      <c r="X50" s="47" t="s">
        <v>13</v>
      </c>
      <c r="Y50" s="47" t="s">
        <v>23</v>
      </c>
      <c r="Z50" s="47" t="s">
        <v>25</v>
      </c>
      <c r="AA50" s="281"/>
      <c r="AB50" s="13"/>
    </row>
    <row r="51" spans="1:28" x14ac:dyDescent="0.25">
      <c r="A51" s="56" t="s">
        <v>8</v>
      </c>
      <c r="B51" s="278" t="s">
        <v>72</v>
      </c>
      <c r="C51" s="279"/>
      <c r="D51" s="280"/>
      <c r="E51" s="68" t="s">
        <v>73</v>
      </c>
      <c r="F51" s="69">
        <v>2600</v>
      </c>
      <c r="G51" s="69">
        <v>236</v>
      </c>
      <c r="H51" s="69">
        <f>F51*G51</f>
        <v>613600</v>
      </c>
      <c r="I51" s="69">
        <v>-4</v>
      </c>
      <c r="J51" s="69">
        <f>609988-20000</f>
        <v>589988</v>
      </c>
      <c r="K51" s="69">
        <v>53</v>
      </c>
      <c r="L51" s="69">
        <f>F51*K51</f>
        <v>137800</v>
      </c>
      <c r="M51" s="69">
        <v>60</v>
      </c>
      <c r="N51" s="69">
        <f>250270-20000</f>
        <v>230270</v>
      </c>
      <c r="O51" s="69">
        <v>89</v>
      </c>
      <c r="P51" s="69">
        <f>F51*O51</f>
        <v>231400</v>
      </c>
      <c r="Q51" s="69">
        <v>70</v>
      </c>
      <c r="R51" s="70">
        <f>422920-30000</f>
        <v>392920</v>
      </c>
      <c r="S51" s="69">
        <v>133</v>
      </c>
      <c r="T51" s="69">
        <f>S51*F51</f>
        <v>345800</v>
      </c>
      <c r="U51" s="69">
        <v>10</v>
      </c>
      <c r="V51" s="71">
        <f>466184-50000</f>
        <v>416184</v>
      </c>
      <c r="W51" s="69">
        <v>81</v>
      </c>
      <c r="X51" s="69">
        <f>F51*W51</f>
        <v>210600</v>
      </c>
      <c r="Y51" s="69">
        <v>55</v>
      </c>
      <c r="Z51" s="71">
        <f>369651-30000</f>
        <v>339651</v>
      </c>
      <c r="AA51" s="71">
        <f>J51+N51+R51+V51+Z51</f>
        <v>1969013</v>
      </c>
      <c r="AB51" s="9"/>
    </row>
    <row r="52" spans="1:28" x14ac:dyDescent="0.25">
      <c r="A52" s="56" t="s">
        <v>17</v>
      </c>
      <c r="B52" s="278" t="s">
        <v>79</v>
      </c>
      <c r="C52" s="279"/>
      <c r="D52" s="280"/>
      <c r="E52" s="69"/>
      <c r="F52" s="69"/>
      <c r="G52" s="69"/>
      <c r="H52" s="69"/>
      <c r="I52" s="69"/>
      <c r="J52" s="69">
        <v>20000</v>
      </c>
      <c r="K52" s="69"/>
      <c r="L52" s="69"/>
      <c r="M52" s="69"/>
      <c r="N52" s="69">
        <v>20000</v>
      </c>
      <c r="O52" s="69"/>
      <c r="P52" s="69"/>
      <c r="Q52" s="69"/>
      <c r="R52" s="70">
        <v>30000</v>
      </c>
      <c r="S52" s="69"/>
      <c r="T52" s="69"/>
      <c r="U52" s="69"/>
      <c r="V52" s="71">
        <v>50000</v>
      </c>
      <c r="W52" s="69"/>
      <c r="X52" s="69"/>
      <c r="Y52" s="69"/>
      <c r="Z52" s="71">
        <v>30000</v>
      </c>
      <c r="AA52" s="71">
        <f t="shared" ref="AA52:AA63" si="5">J52+N52+R52+V52+Z52</f>
        <v>150000</v>
      </c>
      <c r="AB52" s="9"/>
    </row>
    <row r="53" spans="1:28" x14ac:dyDescent="0.25">
      <c r="A53" s="56" t="s">
        <v>20</v>
      </c>
      <c r="B53" s="314" t="s">
        <v>80</v>
      </c>
      <c r="C53" s="315"/>
      <c r="D53" s="316"/>
      <c r="E53" s="68" t="s">
        <v>73</v>
      </c>
      <c r="F53" s="69">
        <v>3500</v>
      </c>
      <c r="G53" s="69"/>
      <c r="H53" s="69">
        <f>F53*G53</f>
        <v>0</v>
      </c>
      <c r="I53" s="282">
        <v>10</v>
      </c>
      <c r="J53" s="282">
        <v>916994</v>
      </c>
      <c r="K53" s="69"/>
      <c r="L53" s="69">
        <f>F53*K53</f>
        <v>0</v>
      </c>
      <c r="M53" s="282">
        <v>70</v>
      </c>
      <c r="N53" s="282">
        <v>322357</v>
      </c>
      <c r="O53" s="69"/>
      <c r="P53" s="69"/>
      <c r="Q53" s="282">
        <v>35</v>
      </c>
      <c r="R53" s="343">
        <v>423252</v>
      </c>
      <c r="S53" s="69"/>
      <c r="T53" s="69"/>
      <c r="U53" s="282">
        <v>90</v>
      </c>
      <c r="V53" s="343">
        <v>969963</v>
      </c>
      <c r="W53" s="69">
        <v>81</v>
      </c>
      <c r="X53" s="69">
        <f>13.91*85*86</f>
        <v>101682.09999999999</v>
      </c>
      <c r="Y53" s="282">
        <v>72</v>
      </c>
      <c r="Z53" s="343">
        <v>286350</v>
      </c>
      <c r="AA53" s="71">
        <f t="shared" si="5"/>
        <v>2918916</v>
      </c>
      <c r="AB53" s="9"/>
    </row>
    <row r="54" spans="1:28" x14ac:dyDescent="0.25">
      <c r="A54" s="56" t="s">
        <v>27</v>
      </c>
      <c r="B54" s="314" t="s">
        <v>81</v>
      </c>
      <c r="C54" s="315"/>
      <c r="D54" s="316"/>
      <c r="E54" s="68" t="s">
        <v>73</v>
      </c>
      <c r="F54" s="69"/>
      <c r="G54" s="69"/>
      <c r="H54" s="69">
        <f>250*237*13.91</f>
        <v>824167.5</v>
      </c>
      <c r="I54" s="283"/>
      <c r="J54" s="283"/>
      <c r="K54" s="69"/>
      <c r="L54" s="69">
        <f>F53*K51</f>
        <v>185500</v>
      </c>
      <c r="M54" s="283"/>
      <c r="N54" s="283"/>
      <c r="O54" s="69"/>
      <c r="P54" s="69">
        <f>F53*O51</f>
        <v>311500</v>
      </c>
      <c r="Q54" s="283"/>
      <c r="R54" s="344"/>
      <c r="S54" s="69"/>
      <c r="T54" s="69">
        <f>F53*S51</f>
        <v>465500</v>
      </c>
      <c r="U54" s="283"/>
      <c r="V54" s="344"/>
      <c r="W54" s="69"/>
      <c r="X54" s="69">
        <f>250*13.91*86</f>
        <v>299065</v>
      </c>
      <c r="Y54" s="283"/>
      <c r="Z54" s="344"/>
      <c r="AA54" s="71">
        <f t="shared" si="5"/>
        <v>0</v>
      </c>
      <c r="AB54" s="9"/>
    </row>
    <row r="55" spans="1:28" x14ac:dyDescent="0.25">
      <c r="A55" s="56" t="s">
        <v>83</v>
      </c>
      <c r="B55" s="314" t="s">
        <v>84</v>
      </c>
      <c r="C55" s="315"/>
      <c r="D55" s="316"/>
      <c r="E55" s="73" t="s">
        <v>73</v>
      </c>
      <c r="F55" s="69">
        <v>2500</v>
      </c>
      <c r="G55" s="69"/>
      <c r="H55" s="69">
        <f>237*F55</f>
        <v>592500</v>
      </c>
      <c r="I55" s="69">
        <v>8</v>
      </c>
      <c r="J55" s="69">
        <v>643587</v>
      </c>
      <c r="K55" s="69"/>
      <c r="L55" s="69">
        <f>F55*K51</f>
        <v>132500</v>
      </c>
      <c r="M55" s="69"/>
      <c r="N55" s="69">
        <v>370043</v>
      </c>
      <c r="O55" s="69"/>
      <c r="P55" s="69"/>
      <c r="Q55" s="69"/>
      <c r="R55" s="71">
        <v>536452</v>
      </c>
      <c r="S55" s="69"/>
      <c r="T55" s="69">
        <f>F55*S51</f>
        <v>332500</v>
      </c>
      <c r="U55" s="69">
        <v>50</v>
      </c>
      <c r="V55" s="71">
        <v>498913</v>
      </c>
      <c r="W55" s="69">
        <v>81</v>
      </c>
      <c r="X55" s="69">
        <f>W55*F55</f>
        <v>202500</v>
      </c>
      <c r="Y55" s="69">
        <v>30</v>
      </c>
      <c r="Z55" s="71">
        <v>422034</v>
      </c>
      <c r="AA55" s="71">
        <f t="shared" si="5"/>
        <v>2471029</v>
      </c>
      <c r="AB55" s="9"/>
    </row>
    <row r="56" spans="1:28" x14ac:dyDescent="0.25">
      <c r="A56" s="56" t="s">
        <v>85</v>
      </c>
      <c r="B56" s="314" t="s">
        <v>86</v>
      </c>
      <c r="C56" s="315"/>
      <c r="D56" s="316"/>
      <c r="E56" s="73" t="s">
        <v>73</v>
      </c>
      <c r="F56" s="69">
        <v>1000</v>
      </c>
      <c r="G56" s="69"/>
      <c r="H56" s="69">
        <f>G56*F56</f>
        <v>0</v>
      </c>
      <c r="I56" s="69">
        <v>30</v>
      </c>
      <c r="J56" s="74">
        <v>352060</v>
      </c>
      <c r="K56" s="69"/>
      <c r="L56" s="69">
        <f>K56*F56</f>
        <v>0</v>
      </c>
      <c r="M56" s="69"/>
      <c r="N56" s="74">
        <v>187940</v>
      </c>
      <c r="O56" s="69"/>
      <c r="P56" s="69">
        <f>O56*F56</f>
        <v>0</v>
      </c>
      <c r="Q56" s="69"/>
      <c r="R56" s="75">
        <v>145880</v>
      </c>
      <c r="S56" s="69"/>
      <c r="T56" s="69">
        <f>S56*F56</f>
        <v>0</v>
      </c>
      <c r="U56" s="69"/>
      <c r="V56" s="75">
        <v>289625</v>
      </c>
      <c r="W56" s="69">
        <v>81</v>
      </c>
      <c r="X56" s="69">
        <f>W56*F56</f>
        <v>81000</v>
      </c>
      <c r="Y56" s="69"/>
      <c r="Z56" s="75">
        <v>233495</v>
      </c>
      <c r="AA56" s="71">
        <f t="shared" si="5"/>
        <v>1209000</v>
      </c>
      <c r="AB56" s="9"/>
    </row>
    <row r="57" spans="1:28" x14ac:dyDescent="0.25">
      <c r="A57" s="56" t="s">
        <v>87</v>
      </c>
      <c r="B57" s="314" t="s">
        <v>88</v>
      </c>
      <c r="C57" s="315"/>
      <c r="D57" s="316"/>
      <c r="E57" s="73" t="s">
        <v>73</v>
      </c>
      <c r="F57" s="69">
        <v>2500</v>
      </c>
      <c r="G57" s="69"/>
      <c r="H57" s="69">
        <f>G57*F57</f>
        <v>0</v>
      </c>
      <c r="I57" s="69">
        <v>9</v>
      </c>
      <c r="J57" s="69">
        <v>540469</v>
      </c>
      <c r="K57" s="69"/>
      <c r="L57" s="69">
        <f>K56*F57</f>
        <v>0</v>
      </c>
      <c r="M57" s="69"/>
      <c r="N57" s="69">
        <v>295709</v>
      </c>
      <c r="O57" s="69"/>
      <c r="P57" s="69">
        <f>O56*F57</f>
        <v>0</v>
      </c>
      <c r="Q57" s="69"/>
      <c r="R57" s="71">
        <v>353165</v>
      </c>
      <c r="S57" s="69"/>
      <c r="T57" s="69">
        <f>S56*F57</f>
        <v>0</v>
      </c>
      <c r="U57" s="69"/>
      <c r="V57" s="71">
        <v>510550</v>
      </c>
      <c r="W57" s="69"/>
      <c r="X57" s="69">
        <f>W56*F57</f>
        <v>202500</v>
      </c>
      <c r="Y57" s="69"/>
      <c r="Z57" s="71">
        <v>365465</v>
      </c>
      <c r="AA57" s="71">
        <f t="shared" si="5"/>
        <v>2065358</v>
      </c>
      <c r="AB57" s="9"/>
    </row>
    <row r="58" spans="1:28" x14ac:dyDescent="0.25">
      <c r="A58" s="57" t="s">
        <v>89</v>
      </c>
      <c r="B58" s="292" t="s">
        <v>90</v>
      </c>
      <c r="C58" s="293"/>
      <c r="D58" s="294"/>
      <c r="E58" s="76" t="s">
        <v>73</v>
      </c>
      <c r="F58" s="77"/>
      <c r="G58" s="77"/>
      <c r="H58" s="77"/>
      <c r="I58" s="77"/>
      <c r="J58" s="77">
        <f>4005765+66871</f>
        <v>4072636</v>
      </c>
      <c r="K58" s="77"/>
      <c r="L58" s="77"/>
      <c r="M58" s="77"/>
      <c r="N58" s="77">
        <f>3985+46684</f>
        <v>50669</v>
      </c>
      <c r="O58" s="77"/>
      <c r="P58" s="77"/>
      <c r="Q58" s="77"/>
      <c r="R58" s="78">
        <v>14957</v>
      </c>
      <c r="S58" s="77"/>
      <c r="T58" s="77"/>
      <c r="U58" s="77"/>
      <c r="V58" s="78">
        <f>5271404+64974</f>
        <v>5336378</v>
      </c>
      <c r="W58" s="77"/>
      <c r="X58" s="77"/>
      <c r="Y58" s="77"/>
      <c r="Z58" s="78">
        <f>8440+43471</f>
        <v>51911</v>
      </c>
      <c r="AA58" s="71">
        <f t="shared" si="5"/>
        <v>9526551</v>
      </c>
      <c r="AB58" s="9"/>
    </row>
    <row r="59" spans="1:28" x14ac:dyDescent="0.25">
      <c r="A59" s="56" t="s">
        <v>91</v>
      </c>
      <c r="B59" s="278" t="s">
        <v>92</v>
      </c>
      <c r="C59" s="279"/>
      <c r="D59" s="280"/>
      <c r="E59" s="73" t="s">
        <v>73</v>
      </c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71"/>
      <c r="S59" s="69"/>
      <c r="T59" s="69"/>
      <c r="U59" s="69"/>
      <c r="V59" s="71"/>
      <c r="W59" s="69"/>
      <c r="X59" s="69"/>
      <c r="Y59" s="69"/>
      <c r="Z59" s="71"/>
      <c r="AA59" s="71">
        <f t="shared" si="5"/>
        <v>0</v>
      </c>
      <c r="AB59" s="9"/>
    </row>
    <row r="60" spans="1:28" x14ac:dyDescent="0.25">
      <c r="A60" s="56" t="s">
        <v>93</v>
      </c>
      <c r="B60" s="278" t="s">
        <v>94</v>
      </c>
      <c r="C60" s="279"/>
      <c r="D60" s="280"/>
      <c r="E60" s="73" t="s">
        <v>73</v>
      </c>
      <c r="F60" s="69"/>
      <c r="G60" s="69"/>
      <c r="H60" s="69"/>
      <c r="I60" s="69"/>
      <c r="J60" s="69">
        <v>27100</v>
      </c>
      <c r="K60" s="69"/>
      <c r="L60" s="69"/>
      <c r="M60" s="69"/>
      <c r="N60" s="69">
        <v>20300</v>
      </c>
      <c r="O60" s="69"/>
      <c r="P60" s="69"/>
      <c r="Q60" s="69"/>
      <c r="R60" s="71">
        <v>6800</v>
      </c>
      <c r="S60" s="69"/>
      <c r="T60" s="69"/>
      <c r="U60" s="69"/>
      <c r="V60" s="71">
        <v>20300</v>
      </c>
      <c r="W60" s="69"/>
      <c r="X60" s="69"/>
      <c r="Y60" s="69"/>
      <c r="Z60" s="71">
        <v>27100</v>
      </c>
      <c r="AA60" s="71">
        <f t="shared" si="5"/>
        <v>101600</v>
      </c>
      <c r="AB60" s="9"/>
    </row>
    <row r="61" spans="1:28" ht="16.5" customHeight="1" x14ac:dyDescent="0.25">
      <c r="A61" s="56">
        <v>11</v>
      </c>
      <c r="B61" s="295" t="s">
        <v>95</v>
      </c>
      <c r="C61" s="295"/>
      <c r="D61" s="295"/>
      <c r="E61" s="73" t="s">
        <v>73</v>
      </c>
      <c r="F61" s="69">
        <v>100</v>
      </c>
      <c r="G61" s="69"/>
      <c r="H61" s="69"/>
      <c r="I61" s="69"/>
      <c r="J61" s="69">
        <v>24648</v>
      </c>
      <c r="K61" s="69"/>
      <c r="L61" s="69"/>
      <c r="M61" s="69"/>
      <c r="N61" s="69">
        <v>6968</v>
      </c>
      <c r="O61" s="69"/>
      <c r="P61" s="69"/>
      <c r="Q61" s="69"/>
      <c r="R61" s="71">
        <v>9568</v>
      </c>
      <c r="S61" s="69"/>
      <c r="T61" s="69"/>
      <c r="U61" s="69"/>
      <c r="V61" s="71">
        <v>14560</v>
      </c>
      <c r="W61" s="69"/>
      <c r="X61" s="69"/>
      <c r="Y61" s="69"/>
      <c r="Z61" s="71">
        <v>8944</v>
      </c>
      <c r="AA61" s="71">
        <f t="shared" si="5"/>
        <v>64688</v>
      </c>
      <c r="AB61" s="9"/>
    </row>
    <row r="62" spans="1:28" ht="16.5" customHeight="1" x14ac:dyDescent="0.25">
      <c r="A62" s="56" t="s">
        <v>100</v>
      </c>
      <c r="B62" s="278" t="s">
        <v>104</v>
      </c>
      <c r="C62" s="279"/>
      <c r="D62" s="280"/>
      <c r="E62" s="73" t="s">
        <v>73</v>
      </c>
      <c r="F62" s="69"/>
      <c r="G62" s="69"/>
      <c r="H62" s="69"/>
      <c r="I62" s="69"/>
      <c r="J62" s="74">
        <f>4565958+1378919+2037000+380100-678600</f>
        <v>7683377</v>
      </c>
      <c r="K62" s="69"/>
      <c r="L62" s="69"/>
      <c r="M62" s="69"/>
      <c r="N62" s="74">
        <f>2101399+634622+1019000+190000-339200</f>
        <v>3605821</v>
      </c>
      <c r="O62" s="69"/>
      <c r="P62" s="69"/>
      <c r="Q62" s="69"/>
      <c r="R62" s="71">
        <f>2439099+736607+809000+152000-271500</f>
        <v>3865206</v>
      </c>
      <c r="S62" s="69"/>
      <c r="T62" s="69"/>
      <c r="U62" s="69"/>
      <c r="V62" s="75">
        <f>4319780+2005000+380000-678500</f>
        <v>6026280</v>
      </c>
      <c r="W62" s="69"/>
      <c r="X62" s="69"/>
      <c r="Y62" s="69"/>
      <c r="Z62" s="75">
        <f>1939695+585788+929000+164700-294000</f>
        <v>3325183</v>
      </c>
      <c r="AA62" s="71">
        <f t="shared" si="5"/>
        <v>24505867</v>
      </c>
      <c r="AB62" s="9"/>
    </row>
    <row r="63" spans="1:28" ht="16.5" customHeight="1" x14ac:dyDescent="0.25">
      <c r="A63" s="56" t="s">
        <v>101</v>
      </c>
      <c r="B63" s="278" t="s">
        <v>102</v>
      </c>
      <c r="C63" s="279"/>
      <c r="D63" s="280"/>
      <c r="E63" s="73" t="s">
        <v>73</v>
      </c>
      <c r="F63" s="69"/>
      <c r="G63" s="69"/>
      <c r="H63" s="69"/>
      <c r="I63" s="69"/>
      <c r="J63" s="69">
        <v>3573939</v>
      </c>
      <c r="K63" s="69"/>
      <c r="L63" s="69"/>
      <c r="M63" s="69"/>
      <c r="N63" s="69">
        <v>938809</v>
      </c>
      <c r="O63" s="69"/>
      <c r="P63" s="69"/>
      <c r="Q63" s="69"/>
      <c r="R63">
        <v>751968</v>
      </c>
      <c r="S63" s="69"/>
      <c r="T63" s="69"/>
      <c r="U63" s="69"/>
      <c r="V63" s="71">
        <v>2799482</v>
      </c>
      <c r="W63" s="69"/>
      <c r="X63" s="69"/>
      <c r="Y63" s="69"/>
      <c r="Z63" s="71">
        <v>1172280</v>
      </c>
      <c r="AA63" s="71">
        <f t="shared" si="5"/>
        <v>9236478</v>
      </c>
      <c r="AB63" s="9"/>
    </row>
    <row r="64" spans="1:28" x14ac:dyDescent="0.25">
      <c r="A64" s="339" t="s">
        <v>223</v>
      </c>
      <c r="B64" s="339"/>
      <c r="C64" s="339"/>
      <c r="D64" s="339"/>
      <c r="E64" s="79"/>
      <c r="F64" s="80"/>
      <c r="G64" s="80"/>
      <c r="H64" s="80"/>
      <c r="I64" s="80"/>
      <c r="J64" s="80">
        <f>SUM(J51:J63)</f>
        <v>18444798</v>
      </c>
      <c r="K64" s="80"/>
      <c r="L64" s="80"/>
      <c r="M64" s="80"/>
      <c r="N64" s="80">
        <f>SUM(N51:N63)</f>
        <v>6048886</v>
      </c>
      <c r="O64" s="80"/>
      <c r="P64" s="80"/>
      <c r="Q64" s="80"/>
      <c r="R64" s="81">
        <f>SUM(R51:R63)</f>
        <v>6530168</v>
      </c>
      <c r="S64" s="80"/>
      <c r="T64" s="80"/>
      <c r="U64" s="80"/>
      <c r="V64" s="81">
        <f>SUM(V51:V63)</f>
        <v>16932235</v>
      </c>
      <c r="W64" s="80"/>
      <c r="X64" s="80"/>
      <c r="Y64" s="80"/>
      <c r="Z64" s="80">
        <f>SUM(Z51:Z63)</f>
        <v>6262413</v>
      </c>
      <c r="AA64" s="81">
        <f>J64+N64+R64+V64+Z64</f>
        <v>54218500</v>
      </c>
      <c r="AB64" s="9"/>
    </row>
    <row r="65" spans="1:27" x14ac:dyDescent="0.25">
      <c r="A65" s="82"/>
      <c r="B65" s="83" t="s">
        <v>114</v>
      </c>
      <c r="C65" s="83"/>
      <c r="D65" s="83"/>
      <c r="E65" s="84"/>
      <c r="F65" s="54"/>
      <c r="G65" s="54"/>
      <c r="H65" s="54"/>
      <c r="I65" s="54"/>
      <c r="J65" s="54">
        <f>J64/G51</f>
        <v>78155.923728813563</v>
      </c>
      <c r="K65" s="54"/>
      <c r="L65" s="54"/>
      <c r="M65" s="54"/>
      <c r="N65" s="54">
        <f>N64/K51</f>
        <v>114129.92452830188</v>
      </c>
      <c r="O65" s="54"/>
      <c r="P65" s="54"/>
      <c r="Q65" s="54"/>
      <c r="R65" s="54">
        <f>R64/O51</f>
        <v>73372.674157303365</v>
      </c>
      <c r="S65" s="54"/>
      <c r="T65" s="54"/>
      <c r="U65" s="54"/>
      <c r="V65" s="54">
        <f>V64/S51</f>
        <v>127310.03759398496</v>
      </c>
      <c r="W65" s="54"/>
      <c r="X65" s="54"/>
      <c r="Y65" s="54"/>
      <c r="Z65" s="54">
        <f>Z64/W51</f>
        <v>77313.740740740745</v>
      </c>
      <c r="AA65" s="54"/>
    </row>
    <row r="66" spans="1:27" x14ac:dyDescent="0.25">
      <c r="A66" s="82"/>
      <c r="B66" s="83"/>
      <c r="C66" s="83"/>
      <c r="D66" s="83"/>
      <c r="E66" s="8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</row>
    <row r="67" spans="1:27" ht="30" x14ac:dyDescent="0.25">
      <c r="A67" s="376" t="s">
        <v>225</v>
      </c>
      <c r="B67" s="377"/>
      <c r="C67" s="377"/>
      <c r="D67" s="377"/>
      <c r="E67" s="377"/>
      <c r="F67" s="377"/>
      <c r="G67" s="377"/>
      <c r="H67" s="377"/>
      <c r="I67" s="378"/>
      <c r="J67" s="46" t="s">
        <v>192</v>
      </c>
      <c r="K67" s="46" t="s">
        <v>193</v>
      </c>
      <c r="L67" s="46" t="s">
        <v>194</v>
      </c>
      <c r="M67" s="46" t="s">
        <v>195</v>
      </c>
      <c r="N67" s="46" t="s">
        <v>196</v>
      </c>
      <c r="O67" s="46" t="s">
        <v>183</v>
      </c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</row>
    <row r="68" spans="1:27" x14ac:dyDescent="0.25">
      <c r="A68" s="376" t="s">
        <v>170</v>
      </c>
      <c r="B68" s="377"/>
      <c r="C68" s="377"/>
      <c r="D68" s="377"/>
      <c r="E68" s="377"/>
      <c r="F68" s="377"/>
      <c r="G68" s="377"/>
      <c r="H68" s="377"/>
      <c r="I68" s="378"/>
      <c r="J68" s="115">
        <f>SUM(J69:J71)</f>
        <v>1554265</v>
      </c>
      <c r="K68" s="115">
        <f>SUM(K69:K71)</f>
        <v>761187</v>
      </c>
      <c r="L68" s="115">
        <f t="shared" ref="L68:N68" si="6">SUM(L69:L71)</f>
        <v>938333</v>
      </c>
      <c r="M68" s="115">
        <f t="shared" si="6"/>
        <v>1301219</v>
      </c>
      <c r="N68" s="115">
        <f t="shared" si="6"/>
        <v>1004655</v>
      </c>
      <c r="O68" s="115">
        <f>SUM(J68:N68)</f>
        <v>5559659</v>
      </c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</row>
    <row r="69" spans="1:27" x14ac:dyDescent="0.25">
      <c r="A69" s="373" t="s">
        <v>178</v>
      </c>
      <c r="B69" s="374"/>
      <c r="C69" s="374"/>
      <c r="D69" s="374"/>
      <c r="E69" s="374"/>
      <c r="F69" s="374"/>
      <c r="G69" s="374"/>
      <c r="H69" s="374"/>
      <c r="I69" s="375"/>
      <c r="J69" s="7"/>
      <c r="K69" s="7"/>
      <c r="L69" s="7"/>
      <c r="M69" s="7"/>
      <c r="N69" s="7"/>
      <c r="O69" s="7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</row>
    <row r="70" spans="1:27" x14ac:dyDescent="0.25">
      <c r="A70" s="274" t="s">
        <v>176</v>
      </c>
      <c r="B70" s="369"/>
      <c r="C70" s="369"/>
      <c r="D70" s="369"/>
      <c r="E70" s="369"/>
      <c r="F70" s="369"/>
      <c r="G70" s="369"/>
      <c r="H70" s="369"/>
      <c r="I70" s="275"/>
      <c r="J70" s="35">
        <f>J56+J57+J60</f>
        <v>919629</v>
      </c>
      <c r="K70" s="35">
        <f>N56+N57+N60</f>
        <v>503949</v>
      </c>
      <c r="L70" s="35">
        <f>R56+R57+R60</f>
        <v>505845</v>
      </c>
      <c r="M70" s="35">
        <f>V56+V57+V60</f>
        <v>820475</v>
      </c>
      <c r="N70" s="35">
        <f>Z56+Z57+Z60</f>
        <v>626060</v>
      </c>
      <c r="O70" s="35">
        <f t="shared" ref="O70:O77" si="7">SUM(J70:N70)</f>
        <v>3375958</v>
      </c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</row>
    <row r="71" spans="1:27" x14ac:dyDescent="0.25">
      <c r="A71" s="274" t="s">
        <v>175</v>
      </c>
      <c r="B71" s="369"/>
      <c r="C71" s="369"/>
      <c r="D71" s="369"/>
      <c r="E71" s="369"/>
      <c r="F71" s="369"/>
      <c r="G71" s="369"/>
      <c r="H71" s="369"/>
      <c r="I71" s="275"/>
      <c r="J71" s="35">
        <f>J51+J52+J61</f>
        <v>634636</v>
      </c>
      <c r="K71" s="35">
        <f>N51+N52+N61</f>
        <v>257238</v>
      </c>
      <c r="L71" s="35">
        <f>R51+R52+R61</f>
        <v>432488</v>
      </c>
      <c r="M71" s="35">
        <f>V51+V52+V61</f>
        <v>480744</v>
      </c>
      <c r="N71" s="35">
        <f>Z51+Z52+Z61</f>
        <v>378595</v>
      </c>
      <c r="O71" s="35">
        <f t="shared" si="7"/>
        <v>2183701</v>
      </c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</row>
    <row r="72" spans="1:27" x14ac:dyDescent="0.25">
      <c r="A72" s="370" t="s">
        <v>177</v>
      </c>
      <c r="B72" s="371"/>
      <c r="C72" s="371"/>
      <c r="D72" s="371"/>
      <c r="E72" s="371"/>
      <c r="F72" s="371"/>
      <c r="G72" s="371"/>
      <c r="H72" s="371"/>
      <c r="I72" s="372"/>
      <c r="J72" s="114">
        <f>J73+J74+J80+J81</f>
        <v>16890533</v>
      </c>
      <c r="K72" s="114">
        <f>K73+K74+K80+K81</f>
        <v>5287699</v>
      </c>
      <c r="L72" s="114">
        <f t="shared" ref="L72:N72" si="8">L73+L74+L80+L81</f>
        <v>5591835</v>
      </c>
      <c r="M72" s="114">
        <f t="shared" si="8"/>
        <v>15631016</v>
      </c>
      <c r="N72" s="114">
        <f t="shared" si="8"/>
        <v>5257758</v>
      </c>
      <c r="O72" s="114">
        <f t="shared" si="7"/>
        <v>48658841</v>
      </c>
      <c r="P72" s="116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</row>
    <row r="73" spans="1:27" x14ac:dyDescent="0.25">
      <c r="A73" s="373" t="s">
        <v>179</v>
      </c>
      <c r="B73" s="374"/>
      <c r="C73" s="374"/>
      <c r="D73" s="374"/>
      <c r="E73" s="374"/>
      <c r="F73" s="374"/>
      <c r="G73" s="374"/>
      <c r="H73" s="374"/>
      <c r="I73" s="375"/>
      <c r="J73" s="113">
        <f>J62</f>
        <v>7683377</v>
      </c>
      <c r="K73" s="113">
        <f>N62</f>
        <v>3605821</v>
      </c>
      <c r="L73" s="113">
        <f>R62</f>
        <v>3865206</v>
      </c>
      <c r="M73" s="113">
        <f>V62</f>
        <v>6026280</v>
      </c>
      <c r="N73" s="113">
        <f>Z62</f>
        <v>3325183</v>
      </c>
      <c r="O73" s="113">
        <f t="shared" si="7"/>
        <v>24505867</v>
      </c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</row>
    <row r="74" spans="1:27" x14ac:dyDescent="0.25">
      <c r="A74" s="274" t="s">
        <v>171</v>
      </c>
      <c r="B74" s="369"/>
      <c r="C74" s="369"/>
      <c r="D74" s="369"/>
      <c r="E74" s="369"/>
      <c r="F74" s="369"/>
      <c r="G74" s="369"/>
      <c r="H74" s="369"/>
      <c r="I74" s="275"/>
      <c r="J74" s="113">
        <f>SUM(J75:J77)</f>
        <v>2455149</v>
      </c>
      <c r="K74" s="113">
        <f t="shared" ref="K74:N74" si="9">SUM(K75:K77)</f>
        <v>662611.80000000005</v>
      </c>
      <c r="L74" s="113">
        <f t="shared" si="9"/>
        <v>518670.4</v>
      </c>
      <c r="M74" s="113">
        <f t="shared" si="9"/>
        <v>1717066.4</v>
      </c>
      <c r="N74" s="113">
        <f t="shared" si="9"/>
        <v>776309</v>
      </c>
      <c r="O74" s="113">
        <f t="shared" si="7"/>
        <v>6129806.5999999996</v>
      </c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</row>
    <row r="75" spans="1:27" x14ac:dyDescent="0.25">
      <c r="A75" s="274" t="s">
        <v>172</v>
      </c>
      <c r="B75" s="369"/>
      <c r="C75" s="369"/>
      <c r="D75" s="369"/>
      <c r="E75" s="369"/>
      <c r="F75" s="369"/>
      <c r="G75" s="369"/>
      <c r="H75" s="369"/>
      <c r="I75" s="275"/>
      <c r="J75" s="35">
        <f>854340*90%</f>
        <v>768906</v>
      </c>
      <c r="K75" s="35">
        <f>252352*90%</f>
        <v>227116.80000000002</v>
      </c>
      <c r="L75" s="35">
        <f>356716*90%</f>
        <v>321044.40000000002</v>
      </c>
      <c r="M75" s="35">
        <f>356096*90%</f>
        <v>320486.40000000002</v>
      </c>
      <c r="N75" s="35">
        <f>178535*90%</f>
        <v>160681.5</v>
      </c>
      <c r="O75" s="35">
        <f t="shared" si="7"/>
        <v>1798235.1</v>
      </c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</row>
    <row r="76" spans="1:27" x14ac:dyDescent="0.25">
      <c r="A76" s="274" t="s">
        <v>173</v>
      </c>
      <c r="B76" s="369"/>
      <c r="C76" s="369"/>
      <c r="D76" s="369"/>
      <c r="E76" s="369"/>
      <c r="F76" s="369"/>
      <c r="G76" s="369"/>
      <c r="H76" s="369"/>
      <c r="I76" s="275"/>
      <c r="J76" s="35">
        <f>2066712*50%</f>
        <v>1033356</v>
      </c>
      <c r="K76" s="35">
        <f>501924*50%</f>
        <v>250962</v>
      </c>
      <c r="L76" s="35">
        <f>395252*50%</f>
        <v>197626</v>
      </c>
      <c r="M76" s="35">
        <f>2093612*50%</f>
        <v>1046806</v>
      </c>
      <c r="N76" s="35">
        <f>756235*50%</f>
        <v>378117.5</v>
      </c>
      <c r="O76" s="35">
        <f t="shared" si="7"/>
        <v>2906867.5</v>
      </c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</row>
    <row r="77" spans="1:27" x14ac:dyDescent="0.25">
      <c r="A77" s="274" t="s">
        <v>174</v>
      </c>
      <c r="B77" s="369"/>
      <c r="C77" s="369"/>
      <c r="D77" s="369"/>
      <c r="E77" s="369"/>
      <c r="F77" s="369"/>
      <c r="G77" s="369"/>
      <c r="H77" s="369"/>
      <c r="I77" s="275"/>
      <c r="J77" s="35">
        <f>265889+386998</f>
        <v>652887</v>
      </c>
      <c r="K77" s="35">
        <f>75151+109382</f>
        <v>184533</v>
      </c>
      <c r="L77" s="35"/>
      <c r="M77" s="35">
        <f>142446+207328</f>
        <v>349774</v>
      </c>
      <c r="N77" s="35">
        <f>96726+140784</f>
        <v>237510</v>
      </c>
      <c r="O77" s="35">
        <f t="shared" si="7"/>
        <v>1424704</v>
      </c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</row>
    <row r="78" spans="1:27" x14ac:dyDescent="0.25">
      <c r="A78" s="274" t="s">
        <v>180</v>
      </c>
      <c r="B78" s="369"/>
      <c r="C78" s="369"/>
      <c r="D78" s="369"/>
      <c r="E78" s="369"/>
      <c r="F78" s="369"/>
      <c r="G78" s="369"/>
      <c r="H78" s="369"/>
      <c r="I78" s="275"/>
      <c r="J78" s="35"/>
      <c r="K78" s="35"/>
      <c r="L78" s="35"/>
      <c r="M78" s="35"/>
      <c r="N78" s="35"/>
      <c r="O78" s="7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</row>
    <row r="79" spans="1:27" x14ac:dyDescent="0.25">
      <c r="A79" s="274" t="s">
        <v>181</v>
      </c>
      <c r="B79" s="369"/>
      <c r="C79" s="369"/>
      <c r="D79" s="369"/>
      <c r="E79" s="369"/>
      <c r="F79" s="369"/>
      <c r="G79" s="369"/>
      <c r="H79" s="369"/>
      <c r="I79" s="275"/>
      <c r="J79" s="35"/>
      <c r="K79" s="35"/>
      <c r="L79" s="35"/>
      <c r="M79" s="35"/>
      <c r="N79" s="35"/>
      <c r="O79" s="7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</row>
    <row r="80" spans="1:27" x14ac:dyDescent="0.25">
      <c r="A80" s="364" t="s">
        <v>182</v>
      </c>
      <c r="B80" s="268"/>
      <c r="C80" s="268"/>
      <c r="D80" s="268"/>
      <c r="E80" s="268"/>
      <c r="F80" s="268"/>
      <c r="G80" s="268"/>
      <c r="H80" s="268"/>
      <c r="I80" s="365"/>
      <c r="J80" s="35">
        <f>J53+J55+J58+J63-J75-J76-J77-390778</f>
        <v>6361229</v>
      </c>
      <c r="K80" s="35">
        <f>N53+N55+N63+N58-K74-K81</f>
        <v>879091.19999999995</v>
      </c>
      <c r="L80" s="35">
        <f>R53+R55+R58+R63-L74-390778</f>
        <v>817180.60000000009</v>
      </c>
      <c r="M80" s="35">
        <f>V53+V55+V58+V63-M74-268669</f>
        <v>7619000.5999999996</v>
      </c>
      <c r="N80" s="35">
        <f>Z53+Z55+Z58+Z63-N74-163538</f>
        <v>992728</v>
      </c>
      <c r="O80" s="35">
        <f>SUM(J80:N80)</f>
        <v>16669229.4</v>
      </c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</row>
    <row r="81" spans="1:27" x14ac:dyDescent="0.25">
      <c r="A81" s="274" t="s">
        <v>175</v>
      </c>
      <c r="B81" s="369"/>
      <c r="C81" s="369"/>
      <c r="D81" s="369"/>
      <c r="E81" s="369"/>
      <c r="F81" s="369"/>
      <c r="G81" s="369"/>
      <c r="H81" s="369"/>
      <c r="I81" s="275"/>
      <c r="J81" s="35">
        <f>390778</f>
        <v>390778</v>
      </c>
      <c r="K81" s="35">
        <f>140175</f>
        <v>140175</v>
      </c>
      <c r="L81" s="35">
        <v>390778</v>
      </c>
      <c r="M81" s="35">
        <v>268669</v>
      </c>
      <c r="N81" s="35">
        <v>163538</v>
      </c>
      <c r="O81" s="35">
        <f>SUM(J81:N81)</f>
        <v>1353938</v>
      </c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</row>
    <row r="82" spans="1:27" x14ac:dyDescent="0.25">
      <c r="A82" s="274" t="s">
        <v>183</v>
      </c>
      <c r="B82" s="369"/>
      <c r="C82" s="369"/>
      <c r="D82" s="369"/>
      <c r="E82" s="369"/>
      <c r="F82" s="369"/>
      <c r="G82" s="369"/>
      <c r="H82" s="369"/>
      <c r="I82" s="275"/>
      <c r="J82" s="35">
        <f>J68+J72</f>
        <v>18444798</v>
      </c>
      <c r="K82" s="35">
        <f t="shared" ref="K82:N82" si="10">K68+K72</f>
        <v>6048886</v>
      </c>
      <c r="L82" s="35">
        <f t="shared" si="10"/>
        <v>6530168</v>
      </c>
      <c r="M82" s="35">
        <f t="shared" si="10"/>
        <v>16932235</v>
      </c>
      <c r="N82" s="35">
        <f t="shared" si="10"/>
        <v>6262413</v>
      </c>
      <c r="O82" s="35">
        <f>SUM(J82:N82)</f>
        <v>54218500</v>
      </c>
      <c r="P82" s="54"/>
      <c r="Q82" s="1"/>
      <c r="R82" s="1"/>
      <c r="S82" s="1"/>
      <c r="T82" s="1"/>
      <c r="V82" s="54"/>
      <c r="W82" s="54"/>
      <c r="X82" s="54"/>
      <c r="Y82" s="54"/>
      <c r="Z82" s="54"/>
      <c r="AA82" s="54"/>
    </row>
    <row r="83" spans="1:27" x14ac:dyDescent="0.25">
      <c r="A83" s="274" t="s">
        <v>184</v>
      </c>
      <c r="B83" s="369"/>
      <c r="C83" s="369"/>
      <c r="D83" s="369"/>
      <c r="E83" s="369"/>
      <c r="F83" s="369"/>
      <c r="G83" s="369"/>
      <c r="H83" s="369"/>
      <c r="I83" s="275"/>
      <c r="J83" s="35">
        <f>J82/G51</f>
        <v>78155.923728813563</v>
      </c>
      <c r="K83" s="35">
        <f>K82/K51</f>
        <v>114129.92452830188</v>
      </c>
      <c r="L83" s="35">
        <f>L82/O51</f>
        <v>73372.674157303365</v>
      </c>
      <c r="M83" s="35">
        <f>M82/S51</f>
        <v>127310.03759398496</v>
      </c>
      <c r="N83" s="35">
        <f>N82/W51</f>
        <v>77313.740740740745</v>
      </c>
      <c r="O83" s="7"/>
      <c r="P83" s="88"/>
      <c r="Q83" s="1"/>
      <c r="R83" s="1"/>
      <c r="S83" s="1"/>
      <c r="T83" s="1"/>
      <c r="V83" s="54"/>
      <c r="W83" s="54"/>
      <c r="X83" s="54"/>
      <c r="Y83" s="54"/>
      <c r="Z83" s="54"/>
      <c r="AA83" s="54"/>
    </row>
    <row r="84" spans="1:27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7"/>
      <c r="K84" s="107"/>
      <c r="L84" s="107"/>
      <c r="M84" s="107"/>
      <c r="N84" s="107"/>
      <c r="O84" s="9"/>
      <c r="P84" s="88"/>
      <c r="Q84" s="1"/>
      <c r="R84" s="1"/>
      <c r="S84" s="1"/>
      <c r="T84" s="1"/>
      <c r="V84" s="54"/>
      <c r="W84" s="54"/>
      <c r="X84" s="54"/>
      <c r="Y84" s="54"/>
      <c r="Z84" s="54"/>
      <c r="AA84" s="54"/>
    </row>
    <row r="85" spans="1:27" x14ac:dyDescent="0.25">
      <c r="A85" s="10"/>
      <c r="B85" s="10"/>
      <c r="C85" s="10"/>
      <c r="D85" s="10"/>
      <c r="E85" s="10"/>
      <c r="F85" s="10"/>
      <c r="G85" s="10"/>
      <c r="H85" s="10"/>
      <c r="I85" s="10"/>
      <c r="J85" s="107"/>
      <c r="K85" s="107"/>
      <c r="L85" s="107"/>
      <c r="M85" s="107"/>
      <c r="N85" s="107"/>
      <c r="O85" s="9"/>
      <c r="P85" s="88"/>
      <c r="Q85" s="1"/>
      <c r="R85" s="1"/>
      <c r="S85" s="1"/>
      <c r="T85" s="1"/>
      <c r="V85" s="54"/>
      <c r="W85" s="54"/>
      <c r="X85" s="54"/>
      <c r="Y85" s="54"/>
      <c r="Z85" s="54"/>
      <c r="AA85" s="54"/>
    </row>
    <row r="86" spans="1:27" x14ac:dyDescent="0.25">
      <c r="A86" s="10"/>
      <c r="B86" s="10"/>
      <c r="C86" s="10"/>
      <c r="D86" s="10"/>
      <c r="E86" s="10"/>
      <c r="F86" s="10"/>
      <c r="G86" s="10"/>
      <c r="H86" s="10"/>
      <c r="I86" s="10"/>
      <c r="J86" s="107"/>
      <c r="K86" s="107"/>
      <c r="L86" s="107"/>
      <c r="M86" s="107"/>
      <c r="N86" s="107"/>
      <c r="O86" s="9"/>
      <c r="P86" s="88"/>
      <c r="Q86" s="1"/>
      <c r="R86" s="1"/>
      <c r="S86" s="1"/>
      <c r="T86" s="1"/>
      <c r="V86" s="54"/>
      <c r="W86" s="54"/>
      <c r="X86" s="54"/>
      <c r="Y86" s="54"/>
      <c r="Z86" s="54"/>
      <c r="AA86" s="54"/>
    </row>
    <row r="87" spans="1:27" x14ac:dyDescent="0.25">
      <c r="A87" s="10"/>
      <c r="B87" s="10"/>
      <c r="C87" s="10"/>
      <c r="D87" s="10"/>
      <c r="E87" s="10"/>
      <c r="F87" s="10"/>
      <c r="G87" s="10"/>
      <c r="H87" s="10"/>
      <c r="I87" s="10"/>
      <c r="J87" s="107"/>
      <c r="K87" s="107"/>
      <c r="L87" s="107"/>
      <c r="M87" s="107"/>
      <c r="N87" s="107"/>
      <c r="O87" s="9"/>
      <c r="P87" s="88"/>
      <c r="Q87" s="1"/>
      <c r="R87" s="1"/>
      <c r="S87" s="1"/>
      <c r="T87" s="1"/>
      <c r="V87" s="54"/>
      <c r="W87" s="54"/>
      <c r="X87" s="54"/>
      <c r="Y87" s="54"/>
      <c r="Z87" s="54"/>
      <c r="AA87" s="54"/>
    </row>
    <row r="88" spans="1:27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1" t="s">
        <v>236</v>
      </c>
      <c r="O88" s="1"/>
      <c r="P88" s="1"/>
      <c r="Q88" s="1"/>
      <c r="V88" s="54"/>
      <c r="W88" s="54"/>
      <c r="X88" s="54"/>
      <c r="Y88" s="54"/>
      <c r="Z88" s="54"/>
      <c r="AA88" s="54"/>
    </row>
    <row r="89" spans="1:27" x14ac:dyDescent="0.25">
      <c r="A89" s="82"/>
      <c r="B89" s="83"/>
      <c r="C89" s="83"/>
      <c r="D89" s="83"/>
      <c r="E89" s="84"/>
      <c r="F89" s="54"/>
      <c r="G89" s="54"/>
      <c r="H89" s="54"/>
      <c r="I89" s="54"/>
      <c r="J89" s="54"/>
      <c r="K89" s="54"/>
      <c r="L89" s="54"/>
      <c r="M89" s="54"/>
      <c r="N89" s="1" t="s">
        <v>239</v>
      </c>
      <c r="O89" s="1"/>
      <c r="P89" s="1"/>
      <c r="Q89" s="1"/>
      <c r="V89" s="54"/>
      <c r="W89" s="54"/>
      <c r="X89" s="54"/>
      <c r="Y89" s="54"/>
      <c r="Z89" s="54"/>
      <c r="AA89" s="54"/>
    </row>
    <row r="90" spans="1:27" x14ac:dyDescent="0.25">
      <c r="A90" s="34"/>
      <c r="B90" s="32"/>
      <c r="C90" s="32"/>
      <c r="D90" s="32"/>
      <c r="E90" s="33"/>
      <c r="N90" s="1" t="s">
        <v>233</v>
      </c>
      <c r="O90" s="1"/>
      <c r="P90" s="1"/>
      <c r="Q90" s="1"/>
      <c r="AA90">
        <v>45280.9</v>
      </c>
    </row>
    <row r="91" spans="1:27" x14ac:dyDescent="0.25">
      <c r="N91" s="1" t="s">
        <v>241</v>
      </c>
      <c r="O91" s="1"/>
      <c r="P91" s="1"/>
      <c r="Q91" s="1"/>
    </row>
    <row r="92" spans="1:27" ht="29.25" customHeight="1" x14ac:dyDescent="0.25">
      <c r="A92" s="324" t="s">
        <v>4</v>
      </c>
      <c r="B92" s="326" t="s">
        <v>71</v>
      </c>
      <c r="C92" s="327"/>
      <c r="D92" s="328"/>
      <c r="E92" s="290" t="s">
        <v>2</v>
      </c>
      <c r="F92" s="276" t="s">
        <v>107</v>
      </c>
      <c r="G92" s="281" t="s">
        <v>38</v>
      </c>
      <c r="H92" s="281"/>
      <c r="I92" s="281"/>
      <c r="J92" s="281"/>
      <c r="K92" s="281" t="s">
        <v>39</v>
      </c>
      <c r="L92" s="281"/>
      <c r="M92" s="281"/>
      <c r="N92" s="281"/>
      <c r="O92" s="281" t="s">
        <v>40</v>
      </c>
      <c r="P92" s="281"/>
      <c r="Q92" s="281"/>
      <c r="R92" s="281"/>
      <c r="S92" s="276" t="s">
        <v>110</v>
      </c>
    </row>
    <row r="93" spans="1:27" ht="70.5" customHeight="1" x14ac:dyDescent="0.25">
      <c r="A93" s="325"/>
      <c r="B93" s="329"/>
      <c r="C93" s="330"/>
      <c r="D93" s="331"/>
      <c r="E93" s="291"/>
      <c r="F93" s="277"/>
      <c r="G93" s="47" t="s">
        <v>108</v>
      </c>
      <c r="H93" s="47" t="s">
        <v>13</v>
      </c>
      <c r="I93" s="47" t="s">
        <v>14</v>
      </c>
      <c r="J93" s="47" t="s">
        <v>25</v>
      </c>
      <c r="K93" s="47" t="s">
        <v>12</v>
      </c>
      <c r="L93" s="47" t="s">
        <v>116</v>
      </c>
      <c r="M93" s="47" t="s">
        <v>14</v>
      </c>
      <c r="N93" s="47" t="s">
        <v>25</v>
      </c>
      <c r="O93" s="47" t="s">
        <v>12</v>
      </c>
      <c r="P93" s="47" t="s">
        <v>116</v>
      </c>
      <c r="Q93" s="47" t="s">
        <v>3</v>
      </c>
      <c r="R93" s="47" t="s">
        <v>25</v>
      </c>
      <c r="S93" s="277"/>
    </row>
    <row r="94" spans="1:27" x14ac:dyDescent="0.25">
      <c r="A94" s="49" t="s">
        <v>8</v>
      </c>
      <c r="B94" s="287" t="s">
        <v>72</v>
      </c>
      <c r="C94" s="288"/>
      <c r="D94" s="289"/>
      <c r="E94" s="50" t="s">
        <v>73</v>
      </c>
      <c r="F94" s="85">
        <v>3000</v>
      </c>
      <c r="G94" s="51">
        <v>190</v>
      </c>
      <c r="H94" s="86"/>
      <c r="I94" s="51"/>
      <c r="J94" s="86">
        <f>890228-350000</f>
        <v>540228</v>
      </c>
      <c r="K94" s="51">
        <v>531</v>
      </c>
      <c r="L94" s="85">
        <v>1000</v>
      </c>
      <c r="M94" s="51"/>
      <c r="N94" s="86">
        <f>803993-220000</f>
        <v>583993</v>
      </c>
      <c r="O94" s="51">
        <v>566</v>
      </c>
      <c r="P94" s="85">
        <v>1000</v>
      </c>
      <c r="Q94" s="51">
        <v>28</v>
      </c>
      <c r="R94" s="86">
        <f>1008118-800000</f>
        <v>208118</v>
      </c>
      <c r="S94" s="86">
        <f t="shared" ref="S94:S106" si="11">J94+N94+R94</f>
        <v>1332339</v>
      </c>
    </row>
    <row r="95" spans="1:27" x14ac:dyDescent="0.25">
      <c r="A95" s="49" t="s">
        <v>17</v>
      </c>
      <c r="B95" s="287" t="s">
        <v>79</v>
      </c>
      <c r="C95" s="288"/>
      <c r="D95" s="289"/>
      <c r="E95" s="50" t="s">
        <v>73</v>
      </c>
      <c r="F95" s="85">
        <v>1100</v>
      </c>
      <c r="G95" s="51"/>
      <c r="H95" s="86"/>
      <c r="I95" s="51"/>
      <c r="J95" s="86">
        <v>350000</v>
      </c>
      <c r="K95" s="51"/>
      <c r="L95" s="85">
        <v>250</v>
      </c>
      <c r="M95" s="51"/>
      <c r="N95" s="86">
        <v>220000</v>
      </c>
      <c r="O95" s="51"/>
      <c r="P95" s="85">
        <v>450</v>
      </c>
      <c r="Q95" s="51"/>
      <c r="R95" s="86">
        <v>800000</v>
      </c>
      <c r="S95" s="86">
        <f t="shared" si="11"/>
        <v>1370000</v>
      </c>
    </row>
    <row r="96" spans="1:27" ht="32.25" customHeight="1" x14ac:dyDescent="0.25">
      <c r="A96" s="49" t="s">
        <v>20</v>
      </c>
      <c r="B96" s="317" t="s">
        <v>105</v>
      </c>
      <c r="C96" s="318"/>
      <c r="D96" s="319"/>
      <c r="E96" s="50" t="s">
        <v>73</v>
      </c>
      <c r="F96" s="85">
        <v>280</v>
      </c>
      <c r="G96" s="51"/>
      <c r="H96" s="86"/>
      <c r="I96" s="51"/>
      <c r="J96" s="86"/>
      <c r="K96" s="51"/>
      <c r="L96" s="85">
        <v>170</v>
      </c>
      <c r="M96" s="51"/>
      <c r="N96" s="86"/>
      <c r="O96" s="51"/>
      <c r="P96" s="85">
        <v>450</v>
      </c>
      <c r="Q96" s="51"/>
      <c r="R96" s="86"/>
      <c r="S96" s="86">
        <f t="shared" si="11"/>
        <v>0</v>
      </c>
    </row>
    <row r="97" spans="1:22" x14ac:dyDescent="0.25">
      <c r="A97" s="49" t="s">
        <v>27</v>
      </c>
      <c r="B97" s="320" t="s">
        <v>102</v>
      </c>
      <c r="C97" s="320"/>
      <c r="D97" s="320"/>
      <c r="E97" s="50" t="s">
        <v>73</v>
      </c>
      <c r="F97" s="86"/>
      <c r="G97" s="51"/>
      <c r="H97" s="86"/>
      <c r="I97" s="51"/>
      <c r="J97" s="86">
        <v>922913</v>
      </c>
      <c r="K97" s="51"/>
      <c r="L97" s="86"/>
      <c r="M97" s="51"/>
      <c r="N97" s="86">
        <v>354687</v>
      </c>
      <c r="O97" s="51"/>
      <c r="P97" s="86"/>
      <c r="Q97" s="51"/>
      <c r="R97" s="86">
        <v>5814514</v>
      </c>
      <c r="S97" s="86">
        <f t="shared" si="11"/>
        <v>7092114</v>
      </c>
      <c r="V97" s="31"/>
    </row>
    <row r="98" spans="1:22" x14ac:dyDescent="0.25">
      <c r="A98" s="49" t="s">
        <v>83</v>
      </c>
      <c r="B98" s="320" t="s">
        <v>106</v>
      </c>
      <c r="C98" s="320"/>
      <c r="D98" s="320"/>
      <c r="E98" s="50" t="s">
        <v>73</v>
      </c>
      <c r="F98" s="85">
        <v>3.3</v>
      </c>
      <c r="G98" s="87">
        <v>54940</v>
      </c>
      <c r="H98" s="88"/>
      <c r="I98" s="51"/>
      <c r="J98" s="86">
        <v>333446</v>
      </c>
      <c r="K98" s="51"/>
      <c r="L98" s="85">
        <v>0.48</v>
      </c>
      <c r="M98" s="51"/>
      <c r="N98" s="86">
        <v>299797</v>
      </c>
      <c r="O98" s="51"/>
      <c r="P98" s="85">
        <v>0.67</v>
      </c>
      <c r="Q98" s="51"/>
      <c r="R98" s="89">
        <v>924018</v>
      </c>
      <c r="S98" s="86">
        <f t="shared" si="11"/>
        <v>1557261</v>
      </c>
      <c r="T98" s="18"/>
    </row>
    <row r="99" spans="1:22" x14ac:dyDescent="0.25">
      <c r="A99" s="49" t="s">
        <v>85</v>
      </c>
      <c r="B99" s="320" t="s">
        <v>109</v>
      </c>
      <c r="C99" s="320"/>
      <c r="D99" s="320"/>
      <c r="E99" s="50" t="s">
        <v>73</v>
      </c>
      <c r="F99" s="85">
        <v>4.9000000000000004</v>
      </c>
      <c r="G99" s="51">
        <v>54940</v>
      </c>
      <c r="H99" s="86"/>
      <c r="I99" s="51"/>
      <c r="J99" s="86"/>
      <c r="K99" s="51"/>
      <c r="L99" s="85">
        <v>0.73</v>
      </c>
      <c r="M99" s="51"/>
      <c r="N99" s="86"/>
      <c r="O99" s="51"/>
      <c r="P99" s="85">
        <v>1.9</v>
      </c>
      <c r="Q99" s="51"/>
      <c r="R99" s="89"/>
      <c r="S99" s="86">
        <f t="shared" si="11"/>
        <v>0</v>
      </c>
    </row>
    <row r="100" spans="1:22" x14ac:dyDescent="0.25">
      <c r="A100" s="63" t="s">
        <v>87</v>
      </c>
      <c r="B100" s="321" t="s">
        <v>84</v>
      </c>
      <c r="C100" s="322"/>
      <c r="D100" s="323"/>
      <c r="E100" s="58" t="s">
        <v>73</v>
      </c>
      <c r="F100" s="90">
        <v>320</v>
      </c>
      <c r="G100" s="59"/>
      <c r="H100" s="91">
        <f>F100*5.46*170</f>
        <v>297024</v>
      </c>
      <c r="I100" s="59"/>
      <c r="J100" s="91">
        <v>375979</v>
      </c>
      <c r="K100" s="54"/>
      <c r="L100" s="90">
        <v>770</v>
      </c>
      <c r="M100" s="59"/>
      <c r="N100" s="91">
        <v>346422</v>
      </c>
      <c r="O100" s="59"/>
      <c r="P100" s="90">
        <v>1120</v>
      </c>
      <c r="Q100" s="59"/>
      <c r="R100" s="91">
        <v>554674</v>
      </c>
      <c r="S100" s="86">
        <f t="shared" si="11"/>
        <v>1277075</v>
      </c>
    </row>
    <row r="101" spans="1:22" x14ac:dyDescent="0.25">
      <c r="A101" s="49" t="s">
        <v>89</v>
      </c>
      <c r="B101" s="314" t="s">
        <v>86</v>
      </c>
      <c r="C101" s="315"/>
      <c r="D101" s="316"/>
      <c r="E101" s="58" t="s">
        <v>73</v>
      </c>
      <c r="F101" s="52">
        <v>2.89</v>
      </c>
      <c r="G101" s="51"/>
      <c r="H101" s="86">
        <f>F101*G99</f>
        <v>158776.6</v>
      </c>
      <c r="I101" s="51"/>
      <c r="J101" s="92">
        <v>400000</v>
      </c>
      <c r="K101" s="93"/>
      <c r="L101" s="85">
        <v>0.9</v>
      </c>
      <c r="M101" s="93"/>
      <c r="N101" s="92">
        <v>150000</v>
      </c>
      <c r="O101" s="93"/>
      <c r="P101" s="85">
        <v>0.33</v>
      </c>
      <c r="Q101" s="93"/>
      <c r="R101" s="92">
        <v>100000</v>
      </c>
      <c r="S101" s="86">
        <f t="shared" si="11"/>
        <v>650000</v>
      </c>
    </row>
    <row r="102" spans="1:22" x14ac:dyDescent="0.25">
      <c r="A102" s="49" t="s">
        <v>91</v>
      </c>
      <c r="B102" s="314" t="s">
        <v>88</v>
      </c>
      <c r="C102" s="315"/>
      <c r="D102" s="316"/>
      <c r="E102" s="58" t="s">
        <v>73</v>
      </c>
      <c r="F102" s="52">
        <v>5.3</v>
      </c>
      <c r="G102" s="51"/>
      <c r="H102" s="86">
        <f>F102*G99</f>
        <v>291182</v>
      </c>
      <c r="I102" s="51"/>
      <c r="J102" s="92">
        <v>300000</v>
      </c>
      <c r="K102" s="93"/>
      <c r="L102" s="85">
        <v>0.98</v>
      </c>
      <c r="M102" s="93"/>
      <c r="N102" s="92">
        <v>384700</v>
      </c>
      <c r="O102" s="93"/>
      <c r="P102" s="85">
        <v>1.58</v>
      </c>
      <c r="Q102" s="93"/>
      <c r="R102" s="92">
        <v>1000000</v>
      </c>
      <c r="S102" s="86">
        <f t="shared" si="11"/>
        <v>1684700</v>
      </c>
    </row>
    <row r="103" spans="1:22" x14ac:dyDescent="0.25">
      <c r="A103" s="49" t="s">
        <v>93</v>
      </c>
      <c r="B103" s="292" t="s">
        <v>90</v>
      </c>
      <c r="C103" s="293"/>
      <c r="D103" s="294"/>
      <c r="E103" s="58" t="s">
        <v>73</v>
      </c>
      <c r="F103" s="51"/>
      <c r="G103" s="51"/>
      <c r="H103" s="86"/>
      <c r="I103" s="51"/>
      <c r="J103" s="117">
        <f>346814+31347</f>
        <v>378161</v>
      </c>
      <c r="K103" s="93"/>
      <c r="L103" s="92"/>
      <c r="M103" s="93"/>
      <c r="N103" s="117">
        <v>29750</v>
      </c>
      <c r="O103" s="93"/>
      <c r="P103" s="92"/>
      <c r="Q103" s="93"/>
      <c r="R103" s="117">
        <f>1635575+1242253</f>
        <v>2877828</v>
      </c>
      <c r="S103" s="86">
        <f t="shared" si="11"/>
        <v>3285739</v>
      </c>
    </row>
    <row r="104" spans="1:22" x14ac:dyDescent="0.25">
      <c r="A104" s="49">
        <v>11</v>
      </c>
      <c r="B104" s="295" t="s">
        <v>95</v>
      </c>
      <c r="C104" s="295"/>
      <c r="D104" s="295"/>
      <c r="E104" s="58" t="s">
        <v>73</v>
      </c>
      <c r="F104" s="52">
        <v>760</v>
      </c>
      <c r="G104" s="51"/>
      <c r="H104" s="86"/>
      <c r="I104" s="51"/>
      <c r="J104" s="86">
        <v>154960</v>
      </c>
      <c r="K104" s="51"/>
      <c r="L104" s="85">
        <v>920</v>
      </c>
      <c r="M104" s="51"/>
      <c r="N104" s="86">
        <v>187200</v>
      </c>
      <c r="O104" s="51"/>
      <c r="P104" s="85">
        <v>4050</v>
      </c>
      <c r="Q104" s="51"/>
      <c r="R104" s="86">
        <f>1122440+1923400</f>
        <v>3045840</v>
      </c>
      <c r="S104" s="86">
        <f t="shared" si="11"/>
        <v>3388000</v>
      </c>
    </row>
    <row r="105" spans="1:22" x14ac:dyDescent="0.25">
      <c r="A105" s="49" t="s">
        <v>100</v>
      </c>
      <c r="B105" s="278" t="s">
        <v>104</v>
      </c>
      <c r="C105" s="279"/>
      <c r="D105" s="280"/>
      <c r="E105" s="58" t="s">
        <v>73</v>
      </c>
      <c r="F105" s="51"/>
      <c r="G105" s="51"/>
      <c r="I105" s="51"/>
      <c r="J105" s="86">
        <f>21634774+2332923</f>
        <v>23967697</v>
      </c>
      <c r="K105" s="51"/>
      <c r="L105" s="86"/>
      <c r="M105" s="51"/>
      <c r="N105" s="51">
        <f>19864517+2569577</f>
        <v>22434094</v>
      </c>
      <c r="P105" s="86"/>
      <c r="Q105" s="51"/>
      <c r="R105" s="86">
        <f>32013630+9826200</f>
        <v>41839830</v>
      </c>
      <c r="S105" s="86">
        <f t="shared" si="11"/>
        <v>88241621</v>
      </c>
    </row>
    <row r="106" spans="1:22" x14ac:dyDescent="0.25">
      <c r="A106" s="49" t="s">
        <v>101</v>
      </c>
      <c r="B106" s="278" t="s">
        <v>111</v>
      </c>
      <c r="C106" s="279"/>
      <c r="D106" s="280"/>
      <c r="E106" s="58" t="s">
        <v>73</v>
      </c>
      <c r="F106" s="85">
        <v>660</v>
      </c>
      <c r="G106" s="51"/>
      <c r="H106" s="86"/>
      <c r="I106" s="51"/>
      <c r="J106" s="86">
        <v>64886</v>
      </c>
      <c r="K106" s="51"/>
      <c r="L106" s="85">
        <v>215</v>
      </c>
      <c r="M106" s="51"/>
      <c r="N106" s="51">
        <v>128234</v>
      </c>
      <c r="P106" s="85">
        <v>400</v>
      </c>
      <c r="Q106" s="51"/>
      <c r="R106" s="86">
        <v>169331</v>
      </c>
      <c r="S106" s="86">
        <f t="shared" si="11"/>
        <v>362451</v>
      </c>
    </row>
    <row r="107" spans="1:22" x14ac:dyDescent="0.25">
      <c r="A107" s="94"/>
      <c r="B107" s="332" t="s">
        <v>112</v>
      </c>
      <c r="C107" s="333"/>
      <c r="D107" s="334"/>
      <c r="E107" s="65"/>
      <c r="F107" s="95"/>
      <c r="G107" s="65"/>
      <c r="H107" s="95"/>
      <c r="I107" s="65"/>
      <c r="J107" s="95">
        <f>SUM(J94:J106)</f>
        <v>27788270</v>
      </c>
      <c r="K107" s="65"/>
      <c r="L107" s="95"/>
      <c r="M107" s="65"/>
      <c r="N107" s="95">
        <f>SUM(N94:N106)</f>
        <v>25118877</v>
      </c>
      <c r="O107" s="65"/>
      <c r="P107" s="95"/>
      <c r="Q107" s="65"/>
      <c r="R107" s="95">
        <f>SUM(R94:R106)</f>
        <v>57334153</v>
      </c>
      <c r="S107" s="95">
        <f>SUM(S94:S106)</f>
        <v>110241300</v>
      </c>
      <c r="T107" s="18"/>
      <c r="V107" s="18"/>
    </row>
    <row r="108" spans="1:22" x14ac:dyDescent="0.25">
      <c r="A108" s="54"/>
      <c r="B108" s="54" t="s">
        <v>115</v>
      </c>
      <c r="C108" s="54"/>
      <c r="D108" s="54"/>
      <c r="E108" s="54"/>
      <c r="F108" s="54"/>
      <c r="G108" s="54">
        <v>51128</v>
      </c>
      <c r="H108" s="54"/>
      <c r="I108" s="54"/>
      <c r="J108" s="88">
        <f>J107/G94</f>
        <v>146254.05263157896</v>
      </c>
      <c r="K108" s="54">
        <v>310906</v>
      </c>
      <c r="L108" s="54"/>
      <c r="M108" s="54"/>
      <c r="N108" s="88">
        <f>N107/K94</f>
        <v>47304.853107344636</v>
      </c>
      <c r="O108" s="88">
        <v>242736</v>
      </c>
      <c r="P108" s="88"/>
      <c r="Q108" s="88"/>
      <c r="R108" s="88">
        <f>R107/O94</f>
        <v>101297.09010600706</v>
      </c>
      <c r="S108" s="54">
        <v>82461196</v>
      </c>
    </row>
    <row r="109" spans="1:22" x14ac:dyDescent="0.25">
      <c r="A109" s="54"/>
      <c r="B109" s="54" t="s">
        <v>117</v>
      </c>
      <c r="C109" s="54"/>
      <c r="D109" s="54"/>
      <c r="E109" s="54"/>
      <c r="F109" s="54"/>
      <c r="G109" s="54"/>
      <c r="H109" s="54"/>
      <c r="I109" s="54"/>
      <c r="J109" s="88">
        <f>J107/G108</f>
        <v>543.50395086840865</v>
      </c>
      <c r="K109" s="54"/>
      <c r="L109" s="54"/>
      <c r="M109" s="54"/>
      <c r="N109" s="88">
        <f>N107/K108</f>
        <v>80.792512849542945</v>
      </c>
      <c r="O109" s="54"/>
      <c r="P109" s="54"/>
      <c r="Q109" s="54"/>
      <c r="R109" s="88">
        <f>R107/O108</f>
        <v>236.19962840287391</v>
      </c>
      <c r="S109" s="88">
        <f>S108-S107</f>
        <v>-27780104</v>
      </c>
    </row>
    <row r="110" spans="1:22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88"/>
      <c r="K110" s="54"/>
      <c r="L110" s="54"/>
      <c r="M110" s="54"/>
      <c r="N110" s="88"/>
      <c r="O110" s="54"/>
      <c r="P110" s="54"/>
      <c r="Q110" s="54"/>
      <c r="R110" s="88"/>
      <c r="S110" s="88"/>
    </row>
    <row r="111" spans="1:22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88"/>
      <c r="K111" s="54"/>
      <c r="L111" s="54"/>
      <c r="M111" s="54"/>
      <c r="N111" s="88"/>
      <c r="O111" s="54"/>
      <c r="P111" s="54"/>
      <c r="Q111" s="54"/>
      <c r="R111" s="88"/>
      <c r="S111" s="88"/>
    </row>
    <row r="112" spans="1:22" ht="30" x14ac:dyDescent="0.25">
      <c r="A112" s="379" t="s">
        <v>226</v>
      </c>
      <c r="B112" s="380"/>
      <c r="C112" s="380"/>
      <c r="D112" s="380"/>
      <c r="E112" s="380"/>
      <c r="F112" s="380"/>
      <c r="G112" s="380"/>
      <c r="H112" s="380"/>
      <c r="I112" s="381"/>
      <c r="J112" s="46" t="s">
        <v>198</v>
      </c>
      <c r="K112" s="46" t="s">
        <v>199</v>
      </c>
      <c r="L112" s="46" t="s">
        <v>200</v>
      </c>
      <c r="M112" s="46" t="s">
        <v>183</v>
      </c>
      <c r="N112" s="88"/>
      <c r="O112" s="54"/>
      <c r="P112" s="54"/>
      <c r="Q112" s="54"/>
      <c r="R112" s="88"/>
      <c r="S112" s="88"/>
    </row>
    <row r="113" spans="1:19" x14ac:dyDescent="0.25">
      <c r="A113" s="376" t="s">
        <v>170</v>
      </c>
      <c r="B113" s="377"/>
      <c r="C113" s="377"/>
      <c r="D113" s="377"/>
      <c r="E113" s="377"/>
      <c r="F113" s="377"/>
      <c r="G113" s="377"/>
      <c r="H113" s="377"/>
      <c r="I113" s="378"/>
      <c r="J113" s="118">
        <f>SUM(J114:J116)</f>
        <v>16820869.413000003</v>
      </c>
      <c r="K113" s="118">
        <f t="shared" ref="K113:L113" si="12">SUM(K114:K116)</f>
        <v>17700874.774</v>
      </c>
      <c r="L113" s="118">
        <f t="shared" si="12"/>
        <v>31429371.239999998</v>
      </c>
      <c r="M113" s="115">
        <f>SUM(J113:L113)</f>
        <v>65951115.427000001</v>
      </c>
      <c r="N113" s="88"/>
      <c r="O113" s="54"/>
      <c r="P113" s="54"/>
      <c r="Q113" s="54"/>
      <c r="R113" s="88"/>
      <c r="S113" s="88"/>
    </row>
    <row r="114" spans="1:19" x14ac:dyDescent="0.25">
      <c r="A114" s="373" t="s">
        <v>178</v>
      </c>
      <c r="B114" s="374"/>
      <c r="C114" s="374"/>
      <c r="D114" s="374"/>
      <c r="E114" s="374"/>
      <c r="F114" s="374"/>
      <c r="G114" s="374"/>
      <c r="H114" s="374"/>
      <c r="I114" s="375"/>
      <c r="J114" s="7">
        <f>J105*62.9%</f>
        <v>15075681.413000001</v>
      </c>
      <c r="K114" s="7">
        <f>N105*72.1%</f>
        <v>16174981.774</v>
      </c>
      <c r="L114" s="7">
        <f>R105*62.8%</f>
        <v>26275413.239999998</v>
      </c>
      <c r="M114" s="119">
        <f t="shared" ref="M114:M116" si="13">SUM(J114:L114)</f>
        <v>57526076.427000001</v>
      </c>
      <c r="N114" s="88"/>
      <c r="O114" s="54"/>
      <c r="P114" s="54"/>
      <c r="Q114" s="54"/>
      <c r="R114" s="88"/>
      <c r="S114" s="88"/>
    </row>
    <row r="115" spans="1:19" x14ac:dyDescent="0.25">
      <c r="A115" s="274" t="s">
        <v>176</v>
      </c>
      <c r="B115" s="369"/>
      <c r="C115" s="369"/>
      <c r="D115" s="369"/>
      <c r="E115" s="369"/>
      <c r="F115" s="369"/>
      <c r="G115" s="369"/>
      <c r="H115" s="369"/>
      <c r="I115" s="275"/>
      <c r="J115" s="22">
        <f>J101+J102</f>
        <v>700000</v>
      </c>
      <c r="K115" s="35">
        <f>N101+N102</f>
        <v>534700</v>
      </c>
      <c r="L115" s="35">
        <f>R101+R102</f>
        <v>1100000</v>
      </c>
      <c r="M115" s="119">
        <f t="shared" si="13"/>
        <v>2334700</v>
      </c>
      <c r="N115" s="88"/>
      <c r="O115" s="54"/>
      <c r="P115" s="54"/>
      <c r="Q115" s="54"/>
      <c r="R115" s="88"/>
      <c r="S115" s="88"/>
    </row>
    <row r="116" spans="1:19" x14ac:dyDescent="0.25">
      <c r="A116" s="274" t="s">
        <v>175</v>
      </c>
      <c r="B116" s="369"/>
      <c r="C116" s="369"/>
      <c r="D116" s="369"/>
      <c r="E116" s="369"/>
      <c r="F116" s="369"/>
      <c r="G116" s="369"/>
      <c r="H116" s="369"/>
      <c r="I116" s="275"/>
      <c r="J116" s="35">
        <f>J94+J95+J104</f>
        <v>1045188</v>
      </c>
      <c r="K116" s="35">
        <f>N94+N95+N104</f>
        <v>991193</v>
      </c>
      <c r="L116" s="35">
        <f>R94+R95+R104</f>
        <v>4053958</v>
      </c>
      <c r="M116" s="119">
        <f t="shared" si="13"/>
        <v>6090339</v>
      </c>
      <c r="N116" s="88"/>
      <c r="O116" s="54"/>
      <c r="P116" s="54"/>
      <c r="Q116" s="54"/>
      <c r="R116" s="88"/>
      <c r="S116" s="88"/>
    </row>
    <row r="117" spans="1:19" x14ac:dyDescent="0.25">
      <c r="A117" s="370" t="s">
        <v>177</v>
      </c>
      <c r="B117" s="371"/>
      <c r="C117" s="371"/>
      <c r="D117" s="371"/>
      <c r="E117" s="371"/>
      <c r="F117" s="371"/>
      <c r="G117" s="371"/>
      <c r="H117" s="371"/>
      <c r="I117" s="372"/>
      <c r="J117" s="114">
        <f>J118+J119+J123+J125+J126</f>
        <v>10967400.586999999</v>
      </c>
      <c r="K117" s="114">
        <f t="shared" ref="K117:L117" si="14">K118+K119+K123+K125+K126</f>
        <v>7418002.2259999998</v>
      </c>
      <c r="L117" s="114">
        <f t="shared" si="14"/>
        <v>25904781.760000005</v>
      </c>
      <c r="M117" s="114">
        <f>SUM(J117:L117)</f>
        <v>44290184.573000006</v>
      </c>
      <c r="N117" s="88"/>
      <c r="O117" s="54"/>
      <c r="P117" s="54"/>
      <c r="Q117" s="54"/>
      <c r="R117" s="88"/>
      <c r="S117" s="88"/>
    </row>
    <row r="118" spans="1:19" x14ac:dyDescent="0.25">
      <c r="A118" s="373" t="s">
        <v>179</v>
      </c>
      <c r="B118" s="374"/>
      <c r="C118" s="374"/>
      <c r="D118" s="374"/>
      <c r="E118" s="374"/>
      <c r="F118" s="374"/>
      <c r="G118" s="374"/>
      <c r="H118" s="374"/>
      <c r="I118" s="375"/>
      <c r="J118" s="113">
        <f>J105-J114</f>
        <v>8892015.5869999994</v>
      </c>
      <c r="K118" s="113">
        <f>N105-K114</f>
        <v>6259112.2259999998</v>
      </c>
      <c r="L118" s="113">
        <f>R105-L114</f>
        <v>15564416.760000002</v>
      </c>
      <c r="M118" s="113">
        <f t="shared" ref="M118:M119" si="15">SUM(J118:L118)</f>
        <v>30715544.572999999</v>
      </c>
      <c r="N118" s="88"/>
      <c r="O118" s="54"/>
      <c r="P118" s="54"/>
      <c r="Q118" s="54"/>
      <c r="R118" s="88"/>
      <c r="S118" s="88"/>
    </row>
    <row r="119" spans="1:19" x14ac:dyDescent="0.25">
      <c r="A119" s="274" t="s">
        <v>171</v>
      </c>
      <c r="B119" s="369"/>
      <c r="C119" s="369"/>
      <c r="D119" s="369"/>
      <c r="E119" s="369"/>
      <c r="F119" s="369"/>
      <c r="G119" s="369"/>
      <c r="H119" s="369"/>
      <c r="I119" s="275"/>
      <c r="J119" s="113">
        <f>SUM(J120:J122)</f>
        <v>503408.7</v>
      </c>
      <c r="K119" s="113">
        <f t="shared" ref="K119:L119" si="16">SUM(K120:K122)</f>
        <v>222399.2</v>
      </c>
      <c r="L119" s="113">
        <f t="shared" si="16"/>
        <v>4191354.1</v>
      </c>
      <c r="M119" s="113">
        <f t="shared" si="15"/>
        <v>4917162</v>
      </c>
      <c r="N119" s="88"/>
      <c r="O119" s="54"/>
      <c r="P119" s="54"/>
      <c r="Q119" s="54"/>
      <c r="R119" s="88"/>
      <c r="S119" s="88"/>
    </row>
    <row r="120" spans="1:19" x14ac:dyDescent="0.25">
      <c r="A120" s="274" t="s">
        <v>172</v>
      </c>
      <c r="B120" s="369"/>
      <c r="C120" s="369"/>
      <c r="D120" s="369"/>
      <c r="E120" s="369"/>
      <c r="F120" s="369"/>
      <c r="G120" s="369"/>
      <c r="H120" s="369"/>
      <c r="I120" s="275"/>
      <c r="J120" s="35">
        <f>19368*90%</f>
        <v>17431.2</v>
      </c>
      <c r="K120" s="35">
        <f>74048*90%</f>
        <v>66643.199999999997</v>
      </c>
      <c r="L120" s="35">
        <f>1230164*90%</f>
        <v>1107147.6000000001</v>
      </c>
      <c r="M120" s="35">
        <f>SUM(J120:L120)</f>
        <v>1191222</v>
      </c>
      <c r="N120" s="88"/>
      <c r="O120" s="54"/>
      <c r="P120" s="54"/>
      <c r="Q120" s="54"/>
      <c r="R120" s="88"/>
      <c r="S120" s="88"/>
    </row>
    <row r="121" spans="1:19" x14ac:dyDescent="0.25">
      <c r="A121" s="274" t="s">
        <v>173</v>
      </c>
      <c r="B121" s="369"/>
      <c r="C121" s="369"/>
      <c r="D121" s="369"/>
      <c r="E121" s="369"/>
      <c r="F121" s="369"/>
      <c r="G121" s="369"/>
      <c r="H121" s="369"/>
      <c r="I121" s="275"/>
      <c r="J121" s="35">
        <f>835135*50%</f>
        <v>417567.5</v>
      </c>
      <c r="K121" s="35">
        <f>249766*50%</f>
        <v>124883</v>
      </c>
      <c r="L121" s="35">
        <f>3000287*50%</f>
        <v>1500143.5</v>
      </c>
      <c r="M121" s="35">
        <f>SUM(J121:L121)</f>
        <v>2042594</v>
      </c>
      <c r="N121" s="88"/>
      <c r="O121" s="54"/>
      <c r="P121" s="54"/>
      <c r="Q121" s="54"/>
      <c r="R121" s="88"/>
      <c r="S121" s="88"/>
    </row>
    <row r="122" spans="1:19" x14ac:dyDescent="0.25">
      <c r="A122" s="274" t="s">
        <v>174</v>
      </c>
      <c r="B122" s="369"/>
      <c r="C122" s="369"/>
      <c r="D122" s="369"/>
      <c r="E122" s="369"/>
      <c r="F122" s="369"/>
      <c r="G122" s="369"/>
      <c r="H122" s="369"/>
      <c r="I122" s="275"/>
      <c r="J122" s="35">
        <f>27860+40550</f>
        <v>68410</v>
      </c>
      <c r="K122" s="35">
        <f>12573+18300</f>
        <v>30873</v>
      </c>
      <c r="L122" s="35">
        <f>615217+968846</f>
        <v>1584063</v>
      </c>
      <c r="M122" s="35">
        <f>SUM(J122:L122)</f>
        <v>1683346</v>
      </c>
      <c r="N122" s="88"/>
      <c r="O122" s="54"/>
      <c r="P122" s="54"/>
      <c r="Q122" s="54"/>
      <c r="R122" s="88"/>
      <c r="S122" s="88"/>
    </row>
    <row r="123" spans="1:19" x14ac:dyDescent="0.25">
      <c r="A123" s="274" t="s">
        <v>180</v>
      </c>
      <c r="B123" s="369"/>
      <c r="C123" s="369"/>
      <c r="D123" s="369"/>
      <c r="E123" s="369"/>
      <c r="F123" s="369"/>
      <c r="G123" s="369"/>
      <c r="H123" s="369"/>
      <c r="I123" s="275"/>
      <c r="J123" s="35">
        <f>J106</f>
        <v>64886</v>
      </c>
      <c r="K123" s="35">
        <f>N106</f>
        <v>128234</v>
      </c>
      <c r="L123" s="35">
        <f>R106</f>
        <v>169331</v>
      </c>
      <c r="M123" s="35">
        <f>SUM(J123:L123)</f>
        <v>362451</v>
      </c>
      <c r="N123" s="88"/>
      <c r="O123" s="54"/>
      <c r="P123" s="54"/>
      <c r="Q123" s="54"/>
      <c r="R123" s="88"/>
      <c r="S123" s="88"/>
    </row>
    <row r="124" spans="1:19" x14ac:dyDescent="0.25">
      <c r="A124" s="274" t="s">
        <v>181</v>
      </c>
      <c r="B124" s="369"/>
      <c r="C124" s="369"/>
      <c r="D124" s="369"/>
      <c r="E124" s="369"/>
      <c r="F124" s="369"/>
      <c r="G124" s="369"/>
      <c r="H124" s="369"/>
      <c r="I124" s="275"/>
      <c r="J124" s="35"/>
      <c r="K124" s="35"/>
      <c r="L124" s="35"/>
      <c r="M124" s="7"/>
      <c r="N124" s="88"/>
      <c r="O124" s="54"/>
      <c r="P124" s="54"/>
      <c r="Q124" s="54"/>
      <c r="R124" s="88"/>
      <c r="S124" s="88"/>
    </row>
    <row r="125" spans="1:19" x14ac:dyDescent="0.25">
      <c r="A125" s="364" t="s">
        <v>182</v>
      </c>
      <c r="B125" s="268"/>
      <c r="C125" s="268"/>
      <c r="D125" s="268"/>
      <c r="E125" s="268"/>
      <c r="F125" s="268"/>
      <c r="G125" s="268"/>
      <c r="H125" s="268"/>
      <c r="I125" s="365"/>
      <c r="J125" s="35">
        <f>J97+J98+J100+J103-J119-J126</f>
        <v>1314349.3</v>
      </c>
      <c r="K125" s="35">
        <f>N97-K119+N98+N100+N103-K126</f>
        <v>597993.80000000005</v>
      </c>
      <c r="L125" s="35">
        <f>R97+-L119+R100+R98+R103-L126</f>
        <v>5594925.9000000004</v>
      </c>
      <c r="M125" s="35">
        <f>SUM(J125:L125)</f>
        <v>7507269</v>
      </c>
      <c r="N125" s="88"/>
      <c r="O125" s="54"/>
      <c r="P125" s="54"/>
      <c r="Q125" s="54"/>
      <c r="R125" s="88"/>
      <c r="S125" s="88"/>
    </row>
    <row r="126" spans="1:19" x14ac:dyDescent="0.25">
      <c r="A126" s="274" t="s">
        <v>175</v>
      </c>
      <c r="B126" s="369"/>
      <c r="C126" s="369"/>
      <c r="D126" s="369"/>
      <c r="E126" s="369"/>
      <c r="F126" s="369"/>
      <c r="G126" s="369"/>
      <c r="H126" s="369"/>
      <c r="I126" s="275"/>
      <c r="J126" s="35">
        <v>192741</v>
      </c>
      <c r="K126" s="35">
        <v>210263</v>
      </c>
      <c r="L126" s="35">
        <v>384754</v>
      </c>
      <c r="M126" s="35">
        <f>SUM(J126:L126)</f>
        <v>787758</v>
      </c>
      <c r="N126" s="88"/>
      <c r="O126" s="54"/>
      <c r="P126" s="54"/>
      <c r="Q126" s="54"/>
      <c r="R126" s="88"/>
      <c r="S126" s="88"/>
    </row>
    <row r="127" spans="1:19" x14ac:dyDescent="0.25">
      <c r="A127" s="274" t="s">
        <v>183</v>
      </c>
      <c r="B127" s="369"/>
      <c r="C127" s="369"/>
      <c r="D127" s="369"/>
      <c r="E127" s="369"/>
      <c r="F127" s="369"/>
      <c r="G127" s="369"/>
      <c r="H127" s="369"/>
      <c r="I127" s="275"/>
      <c r="J127" s="35">
        <f>J113+J117</f>
        <v>27788270</v>
      </c>
      <c r="K127" s="35">
        <f>K113+K117</f>
        <v>25118877</v>
      </c>
      <c r="L127" s="35">
        <f>L113+L117</f>
        <v>57334153</v>
      </c>
      <c r="M127" s="35">
        <f>SUM(J127:L127)</f>
        <v>110241300</v>
      </c>
      <c r="N127" s="88"/>
      <c r="O127" s="54"/>
      <c r="P127" s="54"/>
      <c r="Q127" s="54"/>
      <c r="R127" s="88"/>
      <c r="S127" s="88"/>
    </row>
    <row r="128" spans="1:19" x14ac:dyDescent="0.25">
      <c r="A128" s="274" t="s">
        <v>201</v>
      </c>
      <c r="B128" s="369"/>
      <c r="C128" s="369"/>
      <c r="D128" s="369"/>
      <c r="E128" s="369"/>
      <c r="F128" s="369"/>
      <c r="G128" s="369"/>
      <c r="H128" s="369"/>
      <c r="I128" s="275"/>
      <c r="J128" s="35">
        <f>J127/G108</f>
        <v>543.50395086840865</v>
      </c>
      <c r="K128" s="35">
        <f>K127/K108</f>
        <v>80.792512849542945</v>
      </c>
      <c r="L128" s="35">
        <f>L127/O108</f>
        <v>236.19962840287391</v>
      </c>
      <c r="M128" s="7"/>
      <c r="N128" s="88"/>
      <c r="O128" s="54"/>
      <c r="P128" s="54"/>
      <c r="Q128" s="54"/>
      <c r="R128" s="88"/>
      <c r="S128" s="88"/>
    </row>
    <row r="129" spans="1:27" x14ac:dyDescent="0.25">
      <c r="A129" s="274" t="s">
        <v>202</v>
      </c>
      <c r="B129" s="369"/>
      <c r="C129" s="369"/>
      <c r="D129" s="369"/>
      <c r="E129" s="369"/>
      <c r="F129" s="369"/>
      <c r="G129" s="369"/>
      <c r="H129" s="369"/>
      <c r="I129" s="275"/>
      <c r="J129" s="35">
        <f>J127/G94</f>
        <v>146254.05263157896</v>
      </c>
      <c r="K129" s="35">
        <f>K127/K94</f>
        <v>47304.853107344636</v>
      </c>
      <c r="L129" s="35">
        <f>R107/O94</f>
        <v>101297.09010600706</v>
      </c>
      <c r="M129" s="35"/>
      <c r="N129" s="88"/>
      <c r="O129" s="54"/>
      <c r="P129" s="54"/>
      <c r="Q129" s="54"/>
      <c r="R129" s="88"/>
      <c r="S129" s="88"/>
    </row>
    <row r="130" spans="1:27" x14ac:dyDescent="0.25">
      <c r="A130" s="10"/>
      <c r="B130" s="10"/>
      <c r="C130" s="10"/>
      <c r="D130" s="10"/>
      <c r="E130" s="10"/>
      <c r="F130" s="10"/>
      <c r="G130" s="10"/>
      <c r="H130" s="10"/>
      <c r="I130" s="10"/>
      <c r="J130" s="107"/>
      <c r="K130" s="107"/>
      <c r="L130" s="107"/>
      <c r="M130" s="107"/>
      <c r="N130" s="88"/>
      <c r="O130" s="54"/>
      <c r="P130" s="54"/>
      <c r="Q130" s="54"/>
      <c r="R130" s="88"/>
      <c r="S130" s="88"/>
    </row>
    <row r="131" spans="1:27" x14ac:dyDescent="0.25">
      <c r="A131" s="10"/>
      <c r="B131" s="10"/>
      <c r="C131" s="10"/>
      <c r="D131" s="10"/>
      <c r="E131" s="10"/>
      <c r="F131" s="10"/>
      <c r="G131" s="10"/>
      <c r="H131" s="10"/>
      <c r="I131" s="10"/>
      <c r="J131" s="107"/>
      <c r="K131" s="107"/>
      <c r="L131" s="107"/>
      <c r="M131" s="107"/>
      <c r="N131" s="88"/>
      <c r="O131" s="54"/>
      <c r="P131" s="54"/>
      <c r="Q131" s="54"/>
      <c r="R131" s="88"/>
      <c r="S131" s="88"/>
    </row>
    <row r="132" spans="1:27" x14ac:dyDescent="0.25">
      <c r="A132" s="10"/>
      <c r="B132" s="10"/>
      <c r="C132" s="10"/>
      <c r="D132" s="10"/>
      <c r="E132" s="10"/>
      <c r="F132" s="10"/>
      <c r="G132" s="10"/>
      <c r="H132" s="10"/>
      <c r="I132" s="10"/>
      <c r="J132" s="107"/>
      <c r="K132" s="107"/>
      <c r="L132" s="107"/>
      <c r="M132" s="107"/>
      <c r="N132" s="88"/>
      <c r="O132" s="54"/>
      <c r="P132" s="54"/>
      <c r="Q132" s="54"/>
      <c r="R132" s="88"/>
      <c r="S132" s="88"/>
    </row>
    <row r="133" spans="1:27" x14ac:dyDescent="0.25">
      <c r="A133" s="10"/>
      <c r="B133" s="10"/>
      <c r="C133" s="10"/>
      <c r="D133" s="10"/>
      <c r="E133" s="10"/>
      <c r="F133" s="10"/>
      <c r="G133" s="10"/>
      <c r="H133" s="10"/>
      <c r="I133" s="10"/>
      <c r="J133" s="107"/>
      <c r="K133" s="107"/>
      <c r="L133" s="107"/>
      <c r="M133" s="107"/>
      <c r="N133" s="88"/>
      <c r="O133" s="54"/>
      <c r="P133" s="54"/>
      <c r="Q133" s="54"/>
      <c r="R133" s="88"/>
      <c r="S133" s="88"/>
    </row>
    <row r="134" spans="1:27" ht="17.25" customHeight="1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88"/>
      <c r="K134" s="54"/>
      <c r="L134" s="54"/>
      <c r="M134" s="54"/>
      <c r="N134" s="88"/>
      <c r="O134" s="54"/>
      <c r="P134" s="54"/>
      <c r="Q134" s="54"/>
      <c r="R134" s="88"/>
      <c r="S134" s="1" t="s">
        <v>236</v>
      </c>
      <c r="T134" s="1"/>
      <c r="U134" s="1"/>
      <c r="V134" s="1"/>
    </row>
    <row r="135" spans="1:27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88"/>
      <c r="K135" s="54"/>
      <c r="L135" s="54"/>
      <c r="M135" s="54"/>
      <c r="N135" s="88"/>
      <c r="O135" s="54"/>
      <c r="P135" s="54"/>
      <c r="Q135" s="54"/>
      <c r="R135" s="88"/>
      <c r="S135" s="1" t="s">
        <v>239</v>
      </c>
      <c r="T135" s="1"/>
      <c r="U135" s="1"/>
      <c r="V135" s="1"/>
    </row>
    <row r="136" spans="1:27" x14ac:dyDescent="0.25">
      <c r="S136" s="1" t="s">
        <v>233</v>
      </c>
      <c r="T136" s="1"/>
      <c r="U136" s="1"/>
      <c r="V136" s="1"/>
    </row>
    <row r="137" spans="1:27" x14ac:dyDescent="0.25">
      <c r="A137" s="67"/>
      <c r="B137" s="67"/>
      <c r="C137" s="67"/>
      <c r="D137" s="67"/>
      <c r="E137" s="67"/>
      <c r="F137" s="67"/>
      <c r="G137" s="67"/>
      <c r="H137" s="67"/>
      <c r="I137" s="67"/>
      <c r="J137" s="67"/>
      <c r="K137" s="67"/>
      <c r="L137" s="67"/>
      <c r="M137" s="67"/>
      <c r="N137" s="67"/>
      <c r="O137" s="67"/>
      <c r="P137" s="67"/>
      <c r="Q137" s="67"/>
      <c r="R137" s="67"/>
      <c r="S137" s="1" t="s">
        <v>240</v>
      </c>
      <c r="T137" s="1"/>
      <c r="U137" s="1"/>
      <c r="V137" s="1"/>
      <c r="Y137" s="67"/>
      <c r="Z137" s="67"/>
      <c r="AA137" s="67"/>
    </row>
    <row r="138" spans="1:27" ht="33.75" customHeight="1" x14ac:dyDescent="0.25">
      <c r="A138" s="324" t="s">
        <v>4</v>
      </c>
      <c r="B138" s="326" t="s">
        <v>71</v>
      </c>
      <c r="C138" s="327"/>
      <c r="D138" s="328"/>
      <c r="E138" s="290" t="s">
        <v>2</v>
      </c>
      <c r="F138" s="276" t="s">
        <v>123</v>
      </c>
      <c r="G138" s="281" t="s">
        <v>120</v>
      </c>
      <c r="H138" s="281"/>
      <c r="I138" s="281"/>
      <c r="J138" s="281"/>
      <c r="K138" s="281" t="s">
        <v>118</v>
      </c>
      <c r="L138" s="281"/>
      <c r="M138" s="281"/>
      <c r="N138" s="281"/>
      <c r="O138" s="281" t="s">
        <v>119</v>
      </c>
      <c r="P138" s="281"/>
      <c r="Q138" s="281"/>
      <c r="R138" s="281"/>
      <c r="S138" s="281" t="s">
        <v>129</v>
      </c>
      <c r="T138" s="281"/>
      <c r="U138" s="281"/>
      <c r="V138" s="281"/>
      <c r="W138" s="281" t="s">
        <v>130</v>
      </c>
      <c r="X138" s="281"/>
      <c r="Y138" s="281"/>
      <c r="Z138" s="281"/>
      <c r="AA138" s="67"/>
    </row>
    <row r="139" spans="1:27" ht="89.25" x14ac:dyDescent="0.25">
      <c r="A139" s="325"/>
      <c r="B139" s="329"/>
      <c r="C139" s="330"/>
      <c r="D139" s="331"/>
      <c r="E139" s="291"/>
      <c r="F139" s="277"/>
      <c r="G139" s="47" t="s">
        <v>122</v>
      </c>
      <c r="H139" s="47" t="s">
        <v>13</v>
      </c>
      <c r="I139" s="47" t="s">
        <v>14</v>
      </c>
      <c r="J139" s="47" t="s">
        <v>25</v>
      </c>
      <c r="K139" s="47" t="s">
        <v>122</v>
      </c>
      <c r="L139" s="47" t="s">
        <v>116</v>
      </c>
      <c r="M139" s="47" t="s">
        <v>14</v>
      </c>
      <c r="N139" s="47" t="s">
        <v>25</v>
      </c>
      <c r="O139" s="47" t="s">
        <v>12</v>
      </c>
      <c r="P139" s="47" t="s">
        <v>116</v>
      </c>
      <c r="Q139" s="47" t="s">
        <v>3</v>
      </c>
      <c r="R139" s="47" t="s">
        <v>25</v>
      </c>
      <c r="S139" s="47" t="s">
        <v>121</v>
      </c>
      <c r="T139" s="47" t="s">
        <v>116</v>
      </c>
      <c r="U139" s="47" t="s">
        <v>14</v>
      </c>
      <c r="V139" s="47" t="s">
        <v>25</v>
      </c>
      <c r="W139" s="47" t="s">
        <v>121</v>
      </c>
      <c r="X139" s="47" t="s">
        <v>116</v>
      </c>
      <c r="Y139" s="47" t="s">
        <v>3</v>
      </c>
      <c r="Z139" s="47" t="s">
        <v>25</v>
      </c>
      <c r="AA139" s="67"/>
    </row>
    <row r="140" spans="1:27" x14ac:dyDescent="0.25">
      <c r="A140" s="56" t="s">
        <v>8</v>
      </c>
      <c r="B140" s="278" t="s">
        <v>72</v>
      </c>
      <c r="C140" s="279"/>
      <c r="D140" s="280"/>
      <c r="E140" s="68" t="s">
        <v>73</v>
      </c>
      <c r="F140" s="75">
        <v>35000</v>
      </c>
      <c r="G140" s="69">
        <v>7</v>
      </c>
      <c r="H140" s="71">
        <f>F140*G140</f>
        <v>245000</v>
      </c>
      <c r="I140" s="69">
        <v>14</v>
      </c>
      <c r="J140" s="71">
        <f>382720-100000</f>
        <v>282720</v>
      </c>
      <c r="K140" s="74">
        <v>2</v>
      </c>
      <c r="L140" s="75">
        <f>K140*F140</f>
        <v>70000</v>
      </c>
      <c r="M140" s="69">
        <v>13</v>
      </c>
      <c r="N140" s="71">
        <f>85904-25000</f>
        <v>60904</v>
      </c>
      <c r="O140" s="74">
        <v>1</v>
      </c>
      <c r="P140" s="75">
        <f>O140*F140</f>
        <v>35000</v>
      </c>
      <c r="Q140" s="74"/>
      <c r="R140" s="75">
        <f>49504-30000</f>
        <v>19504</v>
      </c>
      <c r="S140" s="69" t="s">
        <v>131</v>
      </c>
      <c r="T140" s="69">
        <f>(17*35000)+(3*20000)</f>
        <v>655000</v>
      </c>
      <c r="U140" s="69"/>
      <c r="V140" s="69">
        <f>1284820-V141</f>
        <v>834820</v>
      </c>
      <c r="W140" s="69">
        <v>2</v>
      </c>
      <c r="X140" s="69">
        <f>W140*35000</f>
        <v>70000</v>
      </c>
      <c r="Y140" s="69">
        <v>10</v>
      </c>
      <c r="Z140" s="69">
        <f>163588-Z141</f>
        <v>83588</v>
      </c>
      <c r="AA140" s="67"/>
    </row>
    <row r="141" spans="1:27" x14ac:dyDescent="0.25">
      <c r="A141" s="56" t="s">
        <v>17</v>
      </c>
      <c r="B141" s="278" t="s">
        <v>79</v>
      </c>
      <c r="C141" s="279"/>
      <c r="D141" s="280"/>
      <c r="E141" s="68" t="s">
        <v>73</v>
      </c>
      <c r="F141" s="75">
        <v>1325</v>
      </c>
      <c r="G141" s="69">
        <v>41.25</v>
      </c>
      <c r="H141" s="71">
        <f>F141*G141</f>
        <v>54656.25</v>
      </c>
      <c r="I141" s="69">
        <v>45</v>
      </c>
      <c r="J141" s="71">
        <v>100000</v>
      </c>
      <c r="K141" s="74">
        <v>9.5</v>
      </c>
      <c r="L141" s="75">
        <f>1325*9.5</f>
        <v>12587.5</v>
      </c>
      <c r="M141" s="69"/>
      <c r="N141" s="71">
        <v>25000</v>
      </c>
      <c r="O141" s="74">
        <v>6</v>
      </c>
      <c r="P141" s="75">
        <f>F141*6</f>
        <v>7950</v>
      </c>
      <c r="Q141" s="74"/>
      <c r="R141" s="75">
        <v>30000</v>
      </c>
      <c r="S141" s="69" t="s">
        <v>132</v>
      </c>
      <c r="T141" s="69"/>
      <c r="U141" s="69"/>
      <c r="V141" s="69">
        <v>450000</v>
      </c>
      <c r="W141" s="69">
        <v>12</v>
      </c>
      <c r="X141" s="69"/>
      <c r="Y141" s="69"/>
      <c r="Z141" s="69">
        <v>80000</v>
      </c>
      <c r="AA141" s="67"/>
    </row>
    <row r="142" spans="1:27" x14ac:dyDescent="0.25">
      <c r="A142" s="56" t="s">
        <v>20</v>
      </c>
      <c r="B142" s="350" t="s">
        <v>105</v>
      </c>
      <c r="C142" s="351"/>
      <c r="D142" s="352"/>
      <c r="E142" s="68" t="s">
        <v>73</v>
      </c>
      <c r="F142" s="75"/>
      <c r="G142" s="69"/>
      <c r="H142" s="71"/>
      <c r="I142" s="69"/>
      <c r="J142" s="71"/>
      <c r="K142" s="74"/>
      <c r="L142" s="75"/>
      <c r="M142" s="69"/>
      <c r="N142" s="71"/>
      <c r="O142" s="74"/>
      <c r="P142" s="75"/>
      <c r="Q142" s="74"/>
      <c r="S142" s="69"/>
      <c r="T142" s="69"/>
      <c r="U142" s="69"/>
      <c r="V142" s="69"/>
      <c r="W142" s="69"/>
      <c r="X142" s="69"/>
      <c r="Y142" s="69"/>
      <c r="Z142" s="69"/>
      <c r="AA142" s="67"/>
    </row>
    <row r="143" spans="1:27" x14ac:dyDescent="0.25">
      <c r="A143" s="56" t="s">
        <v>27</v>
      </c>
      <c r="B143" s="295" t="s">
        <v>102</v>
      </c>
      <c r="C143" s="295"/>
      <c r="D143" s="295"/>
      <c r="E143" s="68" t="s">
        <v>73</v>
      </c>
      <c r="F143" s="75"/>
      <c r="G143" s="69"/>
      <c r="H143" s="71"/>
      <c r="I143" s="69"/>
      <c r="J143" s="71">
        <v>971330</v>
      </c>
      <c r="K143" s="74"/>
      <c r="L143" s="75"/>
      <c r="M143" s="69"/>
      <c r="N143" s="71">
        <v>348890</v>
      </c>
      <c r="O143" s="74"/>
      <c r="P143" s="75"/>
      <c r="Q143" s="74"/>
      <c r="R143" s="75">
        <v>271430</v>
      </c>
      <c r="S143" s="69"/>
      <c r="T143" s="69"/>
      <c r="U143" s="69"/>
      <c r="V143" s="69">
        <v>1461970</v>
      </c>
      <c r="W143" s="69"/>
      <c r="X143" s="69"/>
      <c r="Y143" s="69"/>
      <c r="Z143" s="69">
        <v>657790</v>
      </c>
      <c r="AA143" s="67"/>
    </row>
    <row r="144" spans="1:27" x14ac:dyDescent="0.25">
      <c r="A144" s="56" t="s">
        <v>83</v>
      </c>
      <c r="B144" s="295" t="s">
        <v>106</v>
      </c>
      <c r="C144" s="295"/>
      <c r="D144" s="295"/>
      <c r="E144" s="68" t="s">
        <v>73</v>
      </c>
      <c r="F144" s="75">
        <v>250</v>
      </c>
      <c r="G144" s="96">
        <v>1075.7</v>
      </c>
      <c r="H144" s="97">
        <f>G144*F144</f>
        <v>268925</v>
      </c>
      <c r="I144" s="69"/>
      <c r="J144" s="343">
        <v>268652</v>
      </c>
      <c r="K144" s="74">
        <v>381.6</v>
      </c>
      <c r="L144" s="75">
        <f>K144*F144</f>
        <v>95400</v>
      </c>
      <c r="M144" s="69">
        <v>23</v>
      </c>
      <c r="N144" s="343">
        <v>123134</v>
      </c>
      <c r="O144" s="74">
        <v>262</v>
      </c>
      <c r="P144" s="75">
        <f>O144*F144</f>
        <v>65500</v>
      </c>
      <c r="Q144" s="74"/>
      <c r="R144" s="348">
        <v>51419</v>
      </c>
      <c r="S144" s="69">
        <v>1841.8</v>
      </c>
      <c r="T144" s="69">
        <v>400</v>
      </c>
      <c r="U144" s="69"/>
      <c r="V144" s="69">
        <v>756145</v>
      </c>
      <c r="W144" s="69"/>
      <c r="X144" s="69"/>
      <c r="Y144" s="69"/>
      <c r="Z144" s="69">
        <v>179266</v>
      </c>
      <c r="AA144" s="67"/>
    </row>
    <row r="145" spans="1:27" x14ac:dyDescent="0.25">
      <c r="A145" s="56" t="s">
        <v>85</v>
      </c>
      <c r="B145" s="295" t="s">
        <v>109</v>
      </c>
      <c r="C145" s="295"/>
      <c r="D145" s="295"/>
      <c r="E145" s="68" t="s">
        <v>73</v>
      </c>
      <c r="F145" s="75"/>
      <c r="G145" s="69">
        <v>1075.7</v>
      </c>
      <c r="H145" s="97">
        <f>G145*F145</f>
        <v>0</v>
      </c>
      <c r="I145" s="69"/>
      <c r="J145" s="344"/>
      <c r="K145" s="74">
        <v>381.6</v>
      </c>
      <c r="L145" s="75">
        <f>K145*F145</f>
        <v>0</v>
      </c>
      <c r="M145" s="69"/>
      <c r="N145" s="344"/>
      <c r="O145" s="74">
        <v>262</v>
      </c>
      <c r="P145" s="75">
        <f>O145*F145</f>
        <v>0</v>
      </c>
      <c r="Q145" s="74"/>
      <c r="R145" s="349"/>
      <c r="S145" s="69">
        <v>1841.8</v>
      </c>
      <c r="T145" s="69">
        <v>400</v>
      </c>
      <c r="U145" s="69"/>
      <c r="W145" s="69"/>
      <c r="X145" s="69"/>
      <c r="Y145" s="69"/>
      <c r="Z145" s="69"/>
      <c r="AA145" s="67"/>
    </row>
    <row r="146" spans="1:27" x14ac:dyDescent="0.25">
      <c r="A146" s="57" t="s">
        <v>87</v>
      </c>
      <c r="B146" s="321" t="s">
        <v>84</v>
      </c>
      <c r="C146" s="322"/>
      <c r="D146" s="323"/>
      <c r="E146" s="98" t="s">
        <v>73</v>
      </c>
      <c r="F146" s="99">
        <v>270</v>
      </c>
      <c r="G146" s="77">
        <v>1075.7</v>
      </c>
      <c r="H146" s="78">
        <f>G146*F146</f>
        <v>290439</v>
      </c>
      <c r="I146" s="77"/>
      <c r="J146" s="78">
        <v>298159</v>
      </c>
      <c r="K146" s="100">
        <v>150</v>
      </c>
      <c r="L146" s="99">
        <f>K145*K146</f>
        <v>57240</v>
      </c>
      <c r="M146" s="77">
        <v>-40</v>
      </c>
      <c r="N146" s="78">
        <v>32890</v>
      </c>
      <c r="O146" s="101">
        <v>150</v>
      </c>
      <c r="P146" s="99">
        <f>O146*O145</f>
        <v>39300</v>
      </c>
      <c r="Q146" s="101"/>
      <c r="R146" s="99">
        <v>62379</v>
      </c>
      <c r="S146" s="69"/>
      <c r="T146" s="69">
        <v>700</v>
      </c>
      <c r="U146" s="69"/>
      <c r="V146" s="69">
        <v>842537</v>
      </c>
      <c r="W146" s="69">
        <v>654.20000000000005</v>
      </c>
      <c r="X146" s="69">
        <v>250</v>
      </c>
      <c r="Y146" s="69"/>
      <c r="Z146" s="69">
        <v>70330</v>
      </c>
      <c r="AA146" s="67"/>
    </row>
    <row r="147" spans="1:27" x14ac:dyDescent="0.25">
      <c r="A147" s="56" t="s">
        <v>89</v>
      </c>
      <c r="B147" s="314" t="s">
        <v>86</v>
      </c>
      <c r="C147" s="315"/>
      <c r="D147" s="316"/>
      <c r="E147" s="98" t="s">
        <v>73</v>
      </c>
      <c r="F147" s="74">
        <v>370</v>
      </c>
      <c r="G147" s="69">
        <v>270</v>
      </c>
      <c r="H147" s="71">
        <f>F147*G147</f>
        <v>99900</v>
      </c>
      <c r="I147" s="69"/>
      <c r="J147" s="75">
        <v>100000</v>
      </c>
      <c r="K147" s="74">
        <v>70</v>
      </c>
      <c r="L147" s="75">
        <f>K147*F147</f>
        <v>25900</v>
      </c>
      <c r="M147" s="74">
        <v>-25</v>
      </c>
      <c r="N147" s="75">
        <v>20000</v>
      </c>
      <c r="O147" s="74">
        <v>24</v>
      </c>
      <c r="P147" s="75">
        <f>O147*F147</f>
        <v>8880</v>
      </c>
      <c r="Q147" s="74"/>
      <c r="R147" s="75">
        <v>20000</v>
      </c>
      <c r="S147" s="69">
        <v>8160</v>
      </c>
      <c r="T147" s="69">
        <v>86</v>
      </c>
      <c r="U147" s="69"/>
      <c r="V147" s="69">
        <v>359770</v>
      </c>
      <c r="W147" s="69"/>
      <c r="X147" s="69"/>
      <c r="Y147" s="69"/>
      <c r="Z147" s="69">
        <v>8000</v>
      </c>
      <c r="AA147" s="67"/>
    </row>
    <row r="148" spans="1:27" x14ac:dyDescent="0.25">
      <c r="A148" s="56" t="s">
        <v>91</v>
      </c>
      <c r="B148" s="314" t="s">
        <v>88</v>
      </c>
      <c r="C148" s="315"/>
      <c r="D148" s="316"/>
      <c r="E148" s="98" t="s">
        <v>73</v>
      </c>
      <c r="F148" s="74">
        <v>370</v>
      </c>
      <c r="G148" s="69">
        <v>1075.7</v>
      </c>
      <c r="H148" s="71">
        <f>700*G148</f>
        <v>752990</v>
      </c>
      <c r="I148" s="69"/>
      <c r="J148" s="75">
        <v>100000</v>
      </c>
      <c r="K148" s="74">
        <v>381.6</v>
      </c>
      <c r="L148" s="75"/>
      <c r="M148" s="74"/>
      <c r="N148" s="75">
        <v>20000</v>
      </c>
      <c r="O148" s="74">
        <v>262</v>
      </c>
      <c r="P148" s="75">
        <f>O148*200</f>
        <v>52400</v>
      </c>
      <c r="Q148" s="74"/>
      <c r="R148" s="75">
        <v>20000</v>
      </c>
      <c r="S148" s="69"/>
      <c r="T148" s="69">
        <v>72</v>
      </c>
      <c r="U148" s="69"/>
      <c r="V148" s="69">
        <v>525147</v>
      </c>
      <c r="W148" s="69"/>
      <c r="X148" s="69"/>
      <c r="Y148" s="69"/>
      <c r="Z148" s="69">
        <v>10000</v>
      </c>
      <c r="AA148" s="67"/>
    </row>
    <row r="149" spans="1:27" x14ac:dyDescent="0.25">
      <c r="A149" s="56" t="s">
        <v>93</v>
      </c>
      <c r="B149" s="292" t="s">
        <v>90</v>
      </c>
      <c r="C149" s="293"/>
      <c r="D149" s="294"/>
      <c r="E149" s="98" t="s">
        <v>73</v>
      </c>
      <c r="F149" s="74"/>
      <c r="G149" s="69"/>
      <c r="H149" s="67"/>
      <c r="I149" s="69"/>
      <c r="J149" s="120">
        <f>33690+17211</f>
        <v>50901</v>
      </c>
      <c r="K149" s="74"/>
      <c r="L149" s="75"/>
      <c r="M149" s="74"/>
      <c r="N149" s="75">
        <f>432101+12189</f>
        <v>444290</v>
      </c>
      <c r="O149" s="74"/>
      <c r="P149" s="75"/>
      <c r="Q149" s="74"/>
      <c r="R149" s="75">
        <v>58072</v>
      </c>
      <c r="S149" s="69"/>
      <c r="T149" s="69"/>
      <c r="U149" s="69"/>
      <c r="V149" s="69">
        <f>451592+24800</f>
        <v>476392</v>
      </c>
      <c r="W149" s="69"/>
      <c r="X149" s="69"/>
      <c r="Y149" s="69"/>
      <c r="Z149" s="69">
        <f>4079+33500</f>
        <v>37579</v>
      </c>
      <c r="AA149" s="67"/>
    </row>
    <row r="150" spans="1:27" x14ac:dyDescent="0.25">
      <c r="A150" s="56">
        <v>11</v>
      </c>
      <c r="B150" s="295" t="s">
        <v>95</v>
      </c>
      <c r="C150" s="295"/>
      <c r="D150" s="295"/>
      <c r="E150" s="98" t="s">
        <v>73</v>
      </c>
      <c r="F150" s="74">
        <v>370</v>
      </c>
      <c r="G150" s="69">
        <v>270</v>
      </c>
      <c r="H150" s="71">
        <f>1150*260</f>
        <v>299000</v>
      </c>
      <c r="I150" s="69"/>
      <c r="J150" s="71">
        <v>100000</v>
      </c>
      <c r="K150" s="74">
        <v>70</v>
      </c>
      <c r="L150" s="75">
        <f>F149:F150*K150</f>
        <v>25900</v>
      </c>
      <c r="M150" s="69">
        <v>-42</v>
      </c>
      <c r="N150" s="71">
        <f>447101-N149</f>
        <v>2811</v>
      </c>
      <c r="O150" s="74">
        <v>24</v>
      </c>
      <c r="P150" s="75">
        <f>O150*F150</f>
        <v>8880</v>
      </c>
      <c r="Q150" s="74"/>
      <c r="R150" s="75">
        <f>73072-R149</f>
        <v>15000</v>
      </c>
      <c r="S150" s="69"/>
      <c r="T150" s="69"/>
      <c r="U150" s="69"/>
      <c r="V150" s="69">
        <f>586792-V149</f>
        <v>110400</v>
      </c>
      <c r="W150" s="69"/>
      <c r="X150" s="69"/>
      <c r="Y150" s="69"/>
      <c r="Z150" s="69">
        <f>26148-Z149</f>
        <v>-11431</v>
      </c>
      <c r="AA150" s="67"/>
    </row>
    <row r="151" spans="1:27" x14ac:dyDescent="0.25">
      <c r="A151" s="56" t="s">
        <v>100</v>
      </c>
      <c r="B151" s="278" t="s">
        <v>104</v>
      </c>
      <c r="C151" s="279"/>
      <c r="D151" s="280"/>
      <c r="E151" s="98" t="s">
        <v>73</v>
      </c>
      <c r="F151" s="74"/>
      <c r="G151" s="69"/>
      <c r="H151" s="71"/>
      <c r="I151" s="69"/>
      <c r="J151" s="71">
        <f>24319169+3534631</f>
        <v>27853800</v>
      </c>
      <c r="K151" s="74"/>
      <c r="L151" s="75"/>
      <c r="M151" s="69"/>
      <c r="N151" s="71">
        <f>5061481+998309</f>
        <v>6059790</v>
      </c>
      <c r="O151" s="74"/>
      <c r="P151" s="75"/>
      <c r="Q151" s="74"/>
      <c r="R151" s="75">
        <f>3515796+576360</f>
        <v>4092156</v>
      </c>
      <c r="S151" s="69"/>
      <c r="T151" s="69"/>
      <c r="U151" s="69"/>
      <c r="V151" s="69">
        <f>30601749+2938300</f>
        <v>33540049</v>
      </c>
      <c r="W151" s="69"/>
      <c r="X151" s="69"/>
      <c r="Y151" s="69"/>
      <c r="Z151" s="69">
        <f>7884978+1275100+287000</f>
        <v>9447078</v>
      </c>
      <c r="AA151" s="67"/>
    </row>
    <row r="152" spans="1:27" x14ac:dyDescent="0.25">
      <c r="A152" s="56" t="s">
        <v>101</v>
      </c>
      <c r="B152" s="278" t="s">
        <v>111</v>
      </c>
      <c r="C152" s="279"/>
      <c r="D152" s="280"/>
      <c r="E152" s="98" t="s">
        <v>73</v>
      </c>
      <c r="F152" s="75"/>
      <c r="G152" s="69"/>
      <c r="H152" s="71"/>
      <c r="I152" s="69"/>
      <c r="J152" s="71">
        <v>127180</v>
      </c>
      <c r="K152" s="74"/>
      <c r="L152" s="75"/>
      <c r="M152" s="69"/>
      <c r="N152" s="71">
        <v>95000</v>
      </c>
      <c r="O152" s="74"/>
      <c r="P152" s="75"/>
      <c r="Q152" s="74"/>
      <c r="R152" s="75">
        <v>121000</v>
      </c>
      <c r="S152" s="69"/>
      <c r="T152" s="69"/>
      <c r="U152" s="69"/>
      <c r="V152" s="69">
        <v>685470</v>
      </c>
      <c r="W152" s="69"/>
      <c r="X152" s="69"/>
      <c r="Y152" s="69"/>
      <c r="Z152" s="69">
        <v>90000</v>
      </c>
      <c r="AA152" s="67"/>
    </row>
    <row r="153" spans="1:27" x14ac:dyDescent="0.25">
      <c r="A153" s="102"/>
      <c r="B153" s="345" t="s">
        <v>112</v>
      </c>
      <c r="C153" s="346"/>
      <c r="D153" s="347"/>
      <c r="E153" s="80"/>
      <c r="F153" s="81"/>
      <c r="G153" s="80"/>
      <c r="H153" s="81"/>
      <c r="I153" s="80"/>
      <c r="J153" s="81">
        <f>SUM(J140:J152)</f>
        <v>30252742</v>
      </c>
      <c r="K153" s="80"/>
      <c r="L153" s="81"/>
      <c r="M153" s="80"/>
      <c r="N153" s="81">
        <f>SUM(N140:N152)</f>
        <v>7232709</v>
      </c>
      <c r="O153" s="80"/>
      <c r="P153" s="81"/>
      <c r="Q153" s="80"/>
      <c r="R153" s="81">
        <f>SUM(R140:R152)</f>
        <v>4760960</v>
      </c>
      <c r="S153" s="80"/>
      <c r="T153" s="80"/>
      <c r="U153" s="80"/>
      <c r="V153" s="80">
        <f>SUM(V140:V152)</f>
        <v>40042700</v>
      </c>
      <c r="W153" s="80"/>
      <c r="X153" s="80"/>
      <c r="Y153" s="80"/>
      <c r="Z153" s="80">
        <f>SUM(Z140:Z152)</f>
        <v>10652200</v>
      </c>
      <c r="AA153" s="67"/>
    </row>
    <row r="154" spans="1:27" x14ac:dyDescent="0.25">
      <c r="A154" s="67"/>
      <c r="B154" s="67"/>
      <c r="C154" s="67" t="s">
        <v>227</v>
      </c>
      <c r="D154" s="67"/>
      <c r="E154" s="67"/>
      <c r="F154" s="67"/>
      <c r="G154" s="67"/>
      <c r="H154" s="67"/>
      <c r="I154" s="67"/>
      <c r="J154" s="97">
        <f>(J147+J150)/260</f>
        <v>769.23076923076928</v>
      </c>
      <c r="K154" s="67">
        <v>70</v>
      </c>
      <c r="L154" s="67"/>
      <c r="M154" s="67"/>
      <c r="N154" s="97">
        <f>(N147+N150)/K154</f>
        <v>325.87142857142857</v>
      </c>
      <c r="O154" s="67">
        <v>24</v>
      </c>
      <c r="P154" s="97"/>
      <c r="Q154" s="67"/>
      <c r="R154" s="97">
        <f>(R147+R150)/O154</f>
        <v>1458.3333333333333</v>
      </c>
      <c r="S154" s="67">
        <v>74500</v>
      </c>
      <c r="T154" s="67"/>
      <c r="U154" s="67"/>
      <c r="V154" s="97">
        <f>V153/8160</f>
        <v>4907.1936274509808</v>
      </c>
      <c r="W154" s="67" t="s">
        <v>133</v>
      </c>
      <c r="X154" s="67"/>
      <c r="Y154" s="67"/>
      <c r="Z154" s="67"/>
      <c r="AA154" s="67"/>
    </row>
    <row r="155" spans="1:27" x14ac:dyDescent="0.25">
      <c r="A155" s="67"/>
      <c r="B155" s="67"/>
      <c r="C155" s="67" t="s">
        <v>126</v>
      </c>
      <c r="D155" s="67"/>
      <c r="E155" s="67"/>
      <c r="F155" s="67"/>
      <c r="G155" s="67"/>
      <c r="H155" s="67"/>
      <c r="I155" s="67"/>
      <c r="J155" s="97">
        <f>(J144+J146+J148+J143)/1075.7</f>
        <v>1522.8604629543552</v>
      </c>
      <c r="K155" s="67"/>
      <c r="L155" s="67"/>
      <c r="M155" s="67"/>
      <c r="N155" s="97">
        <f>(N144+N146+N148+N143)/K145</f>
        <v>1375.5607966457021</v>
      </c>
      <c r="O155" s="67"/>
      <c r="P155" s="97"/>
      <c r="Q155" s="67"/>
      <c r="R155" s="97">
        <f>(R143+R144+R146+R148)/O154</f>
        <v>16884.5</v>
      </c>
      <c r="S155" s="67" t="s">
        <v>134</v>
      </c>
      <c r="T155" s="67"/>
      <c r="U155" s="67"/>
      <c r="V155" s="18">
        <f>V153/S154</f>
        <v>537.48590604026845</v>
      </c>
      <c r="W155" s="67"/>
      <c r="AA155" s="67"/>
    </row>
    <row r="156" spans="1:27" x14ac:dyDescent="0.25">
      <c r="A156" s="67"/>
      <c r="B156" s="67"/>
      <c r="C156" s="67" t="s">
        <v>127</v>
      </c>
      <c r="D156" s="67"/>
      <c r="E156" s="67"/>
      <c r="F156" s="67"/>
      <c r="G156" s="67"/>
      <c r="H156" s="67"/>
      <c r="I156" s="67"/>
      <c r="J156" s="97">
        <f>(J140+J141+J151+J152)/41.25</f>
        <v>687604.84848484851</v>
      </c>
      <c r="K156" s="67"/>
      <c r="L156" s="67"/>
      <c r="M156" s="67"/>
      <c r="N156" s="97">
        <f>(N140+N141+N152+N151)/G141</f>
        <v>151289.55151515151</v>
      </c>
      <c r="O156" s="67"/>
      <c r="P156" s="97"/>
      <c r="Q156" s="67"/>
      <c r="R156" s="97">
        <f>(R140+R141+R149+R151+R152)/O141</f>
        <v>720122</v>
      </c>
      <c r="S156" s="67"/>
      <c r="T156" s="67"/>
      <c r="U156" s="67"/>
      <c r="V156" s="67"/>
      <c r="W156" s="67" t="s">
        <v>228</v>
      </c>
      <c r="X156" s="67"/>
      <c r="Y156" s="67"/>
      <c r="Z156" s="67"/>
      <c r="AA156" s="67"/>
    </row>
    <row r="157" spans="1:27" x14ac:dyDescent="0.25">
      <c r="A157" s="67"/>
      <c r="B157" s="67"/>
      <c r="C157" s="67"/>
      <c r="D157" s="67"/>
      <c r="E157" s="67"/>
      <c r="F157" s="67"/>
      <c r="G157" s="67"/>
      <c r="H157" s="67"/>
      <c r="I157" s="67"/>
      <c r="J157" s="67"/>
      <c r="K157" s="67"/>
      <c r="L157" s="67"/>
      <c r="M157" s="67"/>
      <c r="N157" s="67"/>
      <c r="O157" s="67"/>
      <c r="P157" s="67"/>
      <c r="Q157" s="67"/>
      <c r="R157" s="67"/>
      <c r="S157" s="67"/>
      <c r="T157" s="67"/>
      <c r="U157" s="67"/>
      <c r="V157" s="67"/>
      <c r="W157" s="67"/>
      <c r="X157" s="67"/>
      <c r="Y157" s="97"/>
      <c r="Z157" s="97">
        <f>Z153/9836</f>
        <v>1082.9808865392436</v>
      </c>
      <c r="AA157" s="97"/>
    </row>
    <row r="158" spans="1:27" x14ac:dyDescent="0.25">
      <c r="A158" s="67"/>
      <c r="B158" s="67"/>
      <c r="C158" s="67" t="s">
        <v>128</v>
      </c>
      <c r="D158" s="67"/>
      <c r="E158" s="67"/>
      <c r="F158" s="67"/>
      <c r="G158" s="67"/>
      <c r="H158" s="67"/>
      <c r="I158" s="67"/>
      <c r="J158" s="97">
        <f>J153/270</f>
        <v>112047.19259259259</v>
      </c>
      <c r="K158" s="97"/>
      <c r="L158" s="97"/>
      <c r="M158" s="97"/>
      <c r="N158" s="97">
        <f>N153/K150</f>
        <v>103324.41428571429</v>
      </c>
      <c r="O158" s="97"/>
      <c r="P158" s="97"/>
      <c r="Q158" s="97"/>
      <c r="R158" s="97">
        <f>R153/24</f>
        <v>198373.33333333334</v>
      </c>
      <c r="S158" s="67"/>
      <c r="T158" s="67"/>
      <c r="U158" s="67"/>
      <c r="V158" s="67"/>
      <c r="W158" s="67"/>
      <c r="X158" s="67"/>
      <c r="Y158" s="67"/>
      <c r="Z158" s="67"/>
      <c r="AA158" s="67"/>
    </row>
    <row r="159" spans="1:27" x14ac:dyDescent="0.25">
      <c r="A159" s="67"/>
      <c r="B159" s="67"/>
      <c r="C159" s="67"/>
      <c r="D159" s="67"/>
      <c r="E159" s="67"/>
      <c r="F159" s="67"/>
      <c r="G159" s="67"/>
      <c r="H159" s="67"/>
      <c r="I159" s="67"/>
      <c r="J159" s="97"/>
      <c r="K159" s="97"/>
      <c r="L159" s="97"/>
      <c r="M159" s="97"/>
      <c r="N159" s="97"/>
      <c r="O159" s="97"/>
      <c r="P159" s="97"/>
      <c r="Q159" s="97"/>
      <c r="R159" s="97"/>
      <c r="S159" s="67"/>
      <c r="T159" s="67"/>
      <c r="U159" s="67"/>
      <c r="V159" s="67"/>
      <c r="W159" s="67"/>
      <c r="X159" s="67"/>
      <c r="Y159" s="67"/>
      <c r="Z159" s="67"/>
      <c r="AA159" s="67"/>
    </row>
    <row r="160" spans="1:27" x14ac:dyDescent="0.25">
      <c r="J160" s="18"/>
      <c r="K160" s="18"/>
      <c r="L160" s="18"/>
      <c r="M160" s="18"/>
      <c r="N160" s="18"/>
      <c r="O160" s="18"/>
      <c r="P160" s="18"/>
      <c r="Q160" s="18"/>
      <c r="R160" s="18"/>
    </row>
    <row r="161" spans="1:18" x14ac:dyDescent="0.25">
      <c r="J161" s="18"/>
      <c r="K161" s="18"/>
      <c r="L161" s="18"/>
      <c r="M161" s="18"/>
      <c r="N161" s="18"/>
      <c r="O161" s="18"/>
      <c r="P161" s="18"/>
      <c r="Q161" s="18"/>
      <c r="R161" s="18"/>
    </row>
    <row r="163" spans="1:18" ht="45" x14ac:dyDescent="0.25">
      <c r="A163" s="376" t="s">
        <v>229</v>
      </c>
      <c r="B163" s="377"/>
      <c r="C163" s="377"/>
      <c r="D163" s="377"/>
      <c r="E163" s="377"/>
      <c r="F163" s="377"/>
      <c r="G163" s="377"/>
      <c r="H163" s="377"/>
      <c r="I163" s="378"/>
      <c r="J163" s="4" t="s">
        <v>204</v>
      </c>
      <c r="K163" s="4" t="s">
        <v>205</v>
      </c>
      <c r="L163" s="46" t="s">
        <v>206</v>
      </c>
      <c r="M163" s="46" t="s">
        <v>207</v>
      </c>
      <c r="N163" s="46" t="s">
        <v>208</v>
      </c>
      <c r="O163" s="4" t="s">
        <v>183</v>
      </c>
    </row>
    <row r="164" spans="1:18" x14ac:dyDescent="0.25">
      <c r="A164" s="376" t="s">
        <v>171</v>
      </c>
      <c r="B164" s="377"/>
      <c r="C164" s="377"/>
      <c r="D164" s="377"/>
      <c r="E164" s="377"/>
      <c r="F164" s="377"/>
      <c r="G164" s="377"/>
      <c r="H164" s="377"/>
      <c r="I164" s="378"/>
      <c r="J164" s="115">
        <f>SUM(J165:J167)</f>
        <v>18035637.399999999</v>
      </c>
      <c r="K164" s="115">
        <f t="shared" ref="K164:N164" si="17">SUM(K165:K167)</f>
        <v>2073907.59</v>
      </c>
      <c r="L164" s="115">
        <f t="shared" si="17"/>
        <v>1810933.0520000001</v>
      </c>
      <c r="M164" s="115">
        <f t="shared" si="17"/>
        <v>29447576.690000001</v>
      </c>
      <c r="N164" s="115">
        <f t="shared" si="17"/>
        <v>4544154.1140000001</v>
      </c>
      <c r="O164" s="115">
        <f t="shared" ref="O164:O174" si="18">SUM(J164:N164)</f>
        <v>55912208.846000001</v>
      </c>
      <c r="P164" s="31"/>
    </row>
    <row r="165" spans="1:18" x14ac:dyDescent="0.25">
      <c r="A165" s="373" t="s">
        <v>178</v>
      </c>
      <c r="B165" s="374"/>
      <c r="C165" s="374"/>
      <c r="D165" s="374"/>
      <c r="E165" s="374"/>
      <c r="F165" s="374"/>
      <c r="G165" s="374"/>
      <c r="H165" s="374"/>
      <c r="I165" s="375"/>
      <c r="J165" s="7">
        <f>J151*62.3%</f>
        <v>17352917.399999999</v>
      </c>
      <c r="K165" s="7">
        <f>N151*32.1%</f>
        <v>1945192.59</v>
      </c>
      <c r="L165" s="7">
        <f>R151*41.7%</f>
        <v>1706429.0520000001</v>
      </c>
      <c r="M165" s="7">
        <f>V151*81%</f>
        <v>27167439.690000001</v>
      </c>
      <c r="N165" s="7">
        <f>Z151*46.3%</f>
        <v>4373997.1140000001</v>
      </c>
      <c r="O165" s="7">
        <f t="shared" si="18"/>
        <v>52545975.846000001</v>
      </c>
    </row>
    <row r="166" spans="1:18" x14ac:dyDescent="0.25">
      <c r="A166" s="274" t="s">
        <v>176</v>
      </c>
      <c r="B166" s="369"/>
      <c r="C166" s="369"/>
      <c r="D166" s="369"/>
      <c r="E166" s="369"/>
      <c r="F166" s="369"/>
      <c r="G166" s="369"/>
      <c r="H166" s="369"/>
      <c r="I166" s="275"/>
      <c r="J166" s="35">
        <f>J147+J148</f>
        <v>200000</v>
      </c>
      <c r="K166" s="35">
        <f>N147+N148</f>
        <v>40000</v>
      </c>
      <c r="L166" s="35">
        <f>R147+R148</f>
        <v>40000</v>
      </c>
      <c r="M166" s="35">
        <f>V147+V148</f>
        <v>884917</v>
      </c>
      <c r="N166" s="35">
        <f>Z147+Z148</f>
        <v>18000</v>
      </c>
      <c r="O166" s="35">
        <f t="shared" si="18"/>
        <v>1182917</v>
      </c>
    </row>
    <row r="167" spans="1:18" x14ac:dyDescent="0.25">
      <c r="A167" s="274" t="s">
        <v>175</v>
      </c>
      <c r="B167" s="369"/>
      <c r="C167" s="369"/>
      <c r="D167" s="369"/>
      <c r="E167" s="369"/>
      <c r="F167" s="369"/>
      <c r="G167" s="369"/>
      <c r="H167" s="369"/>
      <c r="I167" s="275"/>
      <c r="J167" s="35">
        <f>J140+J141+J150</f>
        <v>482720</v>
      </c>
      <c r="K167" s="35">
        <f>N140+N141+N150</f>
        <v>88715</v>
      </c>
      <c r="L167" s="35">
        <f>R140+R141+R150</f>
        <v>64504</v>
      </c>
      <c r="M167" s="35">
        <f>V140+V141+V150</f>
        <v>1395220</v>
      </c>
      <c r="N167" s="35">
        <f>Z140+Z141+Z150</f>
        <v>152157</v>
      </c>
      <c r="O167" s="35">
        <f t="shared" si="18"/>
        <v>2183316</v>
      </c>
    </row>
    <row r="168" spans="1:18" x14ac:dyDescent="0.25">
      <c r="A168" s="370" t="s">
        <v>177</v>
      </c>
      <c r="B168" s="371"/>
      <c r="C168" s="371"/>
      <c r="D168" s="371"/>
      <c r="E168" s="371"/>
      <c r="F168" s="371"/>
      <c r="G168" s="371"/>
      <c r="H168" s="371"/>
      <c r="I168" s="372"/>
      <c r="J168" s="114">
        <f>J169+J170+J174+J176+J177</f>
        <v>12217104.600000001</v>
      </c>
      <c r="K168" s="114">
        <f t="shared" ref="K168:N168" si="19">K169+K170+K174+K176+K177</f>
        <v>5158801.41</v>
      </c>
      <c r="L168" s="114">
        <f>L169+L170+L174+L176+L177</f>
        <v>2950026.9479999999</v>
      </c>
      <c r="M168" s="114">
        <f t="shared" si="19"/>
        <v>10595123.309999999</v>
      </c>
      <c r="N168" s="114">
        <f t="shared" si="19"/>
        <v>6108045.8859999999</v>
      </c>
      <c r="O168" s="114">
        <f t="shared" si="18"/>
        <v>37029102.153999999</v>
      </c>
    </row>
    <row r="169" spans="1:18" x14ac:dyDescent="0.25">
      <c r="A169" s="373" t="s">
        <v>179</v>
      </c>
      <c r="B169" s="374"/>
      <c r="C169" s="374"/>
      <c r="D169" s="374"/>
      <c r="E169" s="374"/>
      <c r="F169" s="374"/>
      <c r="G169" s="374"/>
      <c r="H169" s="374"/>
      <c r="I169" s="375"/>
      <c r="J169" s="113">
        <f>J151-J165</f>
        <v>10500882.600000001</v>
      </c>
      <c r="K169" s="113">
        <f>N151-K165</f>
        <v>4114597.41</v>
      </c>
      <c r="L169" s="113">
        <f>R151-L165</f>
        <v>2385726.9479999999</v>
      </c>
      <c r="M169" s="113">
        <f>V151-M165</f>
        <v>6372609.3099999987</v>
      </c>
      <c r="N169" s="113">
        <f>Z151-N165</f>
        <v>5073080.8859999999</v>
      </c>
      <c r="O169" s="113">
        <f t="shared" si="18"/>
        <v>28446897.153999999</v>
      </c>
    </row>
    <row r="170" spans="1:18" x14ac:dyDescent="0.25">
      <c r="A170" s="274" t="s">
        <v>171</v>
      </c>
      <c r="B170" s="369"/>
      <c r="C170" s="369"/>
      <c r="D170" s="369"/>
      <c r="E170" s="369"/>
      <c r="F170" s="369"/>
      <c r="G170" s="369"/>
      <c r="H170" s="369"/>
      <c r="I170" s="275"/>
      <c r="J170" s="113">
        <f>SUM(J171:J173)</f>
        <v>806810.2</v>
      </c>
      <c r="K170" s="113">
        <f t="shared" ref="K170:N170" si="20">SUM(K171:K173)</f>
        <v>217341.9</v>
      </c>
      <c r="L170" s="113">
        <f t="shared" si="20"/>
        <v>296001</v>
      </c>
      <c r="M170" s="113">
        <f t="shared" si="20"/>
        <v>800419.9</v>
      </c>
      <c r="N170" s="113">
        <f t="shared" si="20"/>
        <v>377829.5</v>
      </c>
      <c r="O170" s="113">
        <f t="shared" si="18"/>
        <v>2498402.5</v>
      </c>
      <c r="P170" s="31"/>
    </row>
    <row r="171" spans="1:18" x14ac:dyDescent="0.25">
      <c r="A171" s="274" t="s">
        <v>172</v>
      </c>
      <c r="B171" s="369"/>
      <c r="C171" s="369"/>
      <c r="D171" s="369"/>
      <c r="E171" s="369"/>
      <c r="F171" s="369"/>
      <c r="G171" s="369"/>
      <c r="H171" s="369"/>
      <c r="I171" s="275"/>
      <c r="J171" s="35">
        <f>152523*90%</f>
        <v>137270.70000000001</v>
      </c>
      <c r="K171" s="35">
        <f>57581*90%</f>
        <v>51822.9</v>
      </c>
      <c r="L171" s="35">
        <f>20535*90%</f>
        <v>18481.5</v>
      </c>
      <c r="M171" s="35">
        <f>163486*90%</f>
        <v>147137.4</v>
      </c>
      <c r="N171" s="35">
        <f>54140*90%</f>
        <v>48726</v>
      </c>
      <c r="O171" s="35">
        <f t="shared" si="18"/>
        <v>403438.5</v>
      </c>
    </row>
    <row r="172" spans="1:18" x14ac:dyDescent="0.25">
      <c r="A172" s="274" t="s">
        <v>173</v>
      </c>
      <c r="B172" s="369"/>
      <c r="C172" s="369"/>
      <c r="D172" s="369"/>
      <c r="E172" s="369"/>
      <c r="F172" s="369"/>
      <c r="G172" s="369"/>
      <c r="H172" s="369"/>
      <c r="I172" s="275"/>
      <c r="J172" s="35">
        <f>1122969*50%</f>
        <v>561484.5</v>
      </c>
      <c r="K172" s="35">
        <f>294552*50%</f>
        <v>147276</v>
      </c>
      <c r="L172" s="35">
        <f>546753*50%</f>
        <v>273376.5</v>
      </c>
      <c r="M172" s="35">
        <f>1290405*50%</f>
        <v>645202.5</v>
      </c>
      <c r="N172" s="35">
        <f>609093*50%</f>
        <v>304546.5</v>
      </c>
      <c r="O172" s="35">
        <f t="shared" si="18"/>
        <v>1931886</v>
      </c>
    </row>
    <row r="173" spans="1:18" x14ac:dyDescent="0.25">
      <c r="A173" s="274" t="s">
        <v>174</v>
      </c>
      <c r="B173" s="369"/>
      <c r="C173" s="369"/>
      <c r="D173" s="369"/>
      <c r="E173" s="369"/>
      <c r="F173" s="369"/>
      <c r="G173" s="369"/>
      <c r="H173" s="369"/>
      <c r="I173" s="275"/>
      <c r="J173" s="35">
        <f>44005+64050</f>
        <v>108055</v>
      </c>
      <c r="K173" s="35">
        <f>7429+10814</f>
        <v>18243</v>
      </c>
      <c r="L173" s="35">
        <v>4143</v>
      </c>
      <c r="M173" s="35">
        <f>3714+4366</f>
        <v>8080</v>
      </c>
      <c r="N173" s="35">
        <f>10001+14556</f>
        <v>24557</v>
      </c>
      <c r="O173" s="35">
        <f t="shared" si="18"/>
        <v>163078</v>
      </c>
    </row>
    <row r="174" spans="1:18" x14ac:dyDescent="0.25">
      <c r="A174" s="274" t="s">
        <v>180</v>
      </c>
      <c r="B174" s="369"/>
      <c r="C174" s="369"/>
      <c r="D174" s="369"/>
      <c r="E174" s="369"/>
      <c r="F174" s="369"/>
      <c r="G174" s="369"/>
      <c r="H174" s="369"/>
      <c r="I174" s="275"/>
      <c r="J174" s="35">
        <f>J152</f>
        <v>127180</v>
      </c>
      <c r="K174" s="35">
        <f>N152</f>
        <v>95000</v>
      </c>
      <c r="L174" s="35">
        <f>R152</f>
        <v>121000</v>
      </c>
      <c r="M174" s="35">
        <f>V152</f>
        <v>685470</v>
      </c>
      <c r="N174" s="35">
        <f>Z152</f>
        <v>90000</v>
      </c>
      <c r="O174" s="35">
        <f t="shared" si="18"/>
        <v>1118650</v>
      </c>
    </row>
    <row r="175" spans="1:18" x14ac:dyDescent="0.25">
      <c r="A175" s="274" t="s">
        <v>181</v>
      </c>
      <c r="B175" s="369"/>
      <c r="C175" s="369"/>
      <c r="D175" s="369"/>
      <c r="E175" s="369"/>
      <c r="F175" s="369"/>
      <c r="G175" s="369"/>
      <c r="H175" s="369"/>
      <c r="I175" s="275"/>
      <c r="J175" s="35"/>
      <c r="K175" s="35"/>
      <c r="L175" s="35"/>
      <c r="M175" s="35"/>
      <c r="N175" s="35"/>
      <c r="O175" s="7"/>
    </row>
    <row r="176" spans="1:18" x14ac:dyDescent="0.25">
      <c r="A176" s="364" t="s">
        <v>182</v>
      </c>
      <c r="B176" s="268"/>
      <c r="C176" s="268"/>
      <c r="D176" s="268"/>
      <c r="E176" s="268"/>
      <c r="F176" s="268"/>
      <c r="G176" s="268"/>
      <c r="H176" s="268"/>
      <c r="I176" s="365"/>
      <c r="J176" s="35">
        <f>J143-J170+J144+J146+J149-J177</f>
        <v>536924.80000000005</v>
      </c>
      <c r="K176" s="35">
        <f>N143-K170+N144+N146+N149-K177</f>
        <v>701423.1</v>
      </c>
      <c r="L176" s="35">
        <f>R143+R144+R146+R149-L170-L177</f>
        <v>112255</v>
      </c>
      <c r="M176" s="35">
        <f>V143-M170+V144+V146+V149-M177</f>
        <v>2613870.1</v>
      </c>
      <c r="N176" s="35">
        <f>Z143-N170+Z144+Z146+Z149-36400</f>
        <v>530735.5</v>
      </c>
      <c r="O176" s="35">
        <f>SUM(J176:N176)</f>
        <v>4495208.5</v>
      </c>
    </row>
    <row r="177" spans="1:16" x14ac:dyDescent="0.25">
      <c r="A177" s="274" t="s">
        <v>175</v>
      </c>
      <c r="B177" s="369"/>
      <c r="C177" s="369"/>
      <c r="D177" s="369"/>
      <c r="E177" s="369"/>
      <c r="F177" s="369"/>
      <c r="G177" s="369"/>
      <c r="H177" s="369"/>
      <c r="I177" s="275"/>
      <c r="J177" s="35">
        <v>245307</v>
      </c>
      <c r="K177" s="35">
        <v>30439</v>
      </c>
      <c r="L177" s="35">
        <v>35044</v>
      </c>
      <c r="M177" s="35">
        <v>122754</v>
      </c>
      <c r="N177" s="35">
        <v>36400</v>
      </c>
      <c r="O177" s="35">
        <f>SUM(J177:N177)</f>
        <v>469944</v>
      </c>
    </row>
    <row r="178" spans="1:16" x14ac:dyDescent="0.25">
      <c r="A178" s="382" t="s">
        <v>183</v>
      </c>
      <c r="B178" s="383"/>
      <c r="C178" s="383"/>
      <c r="D178" s="383"/>
      <c r="E178" s="383"/>
      <c r="F178" s="383"/>
      <c r="G178" s="383"/>
      <c r="H178" s="383"/>
      <c r="I178" s="384"/>
      <c r="J178" s="114">
        <f>J164+J168</f>
        <v>30252742</v>
      </c>
      <c r="K178" s="114">
        <f>K164+K168</f>
        <v>7232709</v>
      </c>
      <c r="L178" s="114">
        <f>L164+L168</f>
        <v>4760960</v>
      </c>
      <c r="M178" s="114">
        <f>M164+M168</f>
        <v>40042700</v>
      </c>
      <c r="N178" s="114">
        <f>N164+N168</f>
        <v>10652200</v>
      </c>
      <c r="O178" s="114">
        <f>SUM(J178:N178)</f>
        <v>92941311</v>
      </c>
      <c r="P178" s="18"/>
    </row>
    <row r="179" spans="1:16" x14ac:dyDescent="0.25">
      <c r="A179" s="274" t="s">
        <v>209</v>
      </c>
      <c r="B179" s="369"/>
      <c r="C179" s="369"/>
      <c r="D179" s="369"/>
      <c r="E179" s="369"/>
      <c r="F179" s="369"/>
      <c r="G179" s="369"/>
      <c r="H179" s="369"/>
      <c r="I179" s="275"/>
      <c r="J179" s="35">
        <f>J178/270</f>
        <v>112047.19259259259</v>
      </c>
      <c r="K179" s="35">
        <f>K178/70</f>
        <v>103324.41428571429</v>
      </c>
      <c r="L179" s="35">
        <f>L178/24</f>
        <v>198373.33333333334</v>
      </c>
      <c r="M179" s="9"/>
      <c r="N179" s="35"/>
      <c r="O179" s="7"/>
    </row>
    <row r="180" spans="1:16" x14ac:dyDescent="0.25">
      <c r="A180" s="274" t="s">
        <v>210</v>
      </c>
      <c r="B180" s="369"/>
      <c r="C180" s="369"/>
      <c r="D180" s="369"/>
      <c r="E180" s="369"/>
      <c r="F180" s="369"/>
      <c r="G180" s="369"/>
      <c r="H180" s="369"/>
      <c r="I180" s="275"/>
      <c r="J180" s="7"/>
      <c r="K180" s="7"/>
      <c r="L180" s="7"/>
      <c r="M180" s="35">
        <f>M178/74500</f>
        <v>537.48590604026845</v>
      </c>
      <c r="N180" s="7"/>
      <c r="O180" s="7"/>
      <c r="P180" s="31"/>
    </row>
    <row r="181" spans="1:16" x14ac:dyDescent="0.25">
      <c r="A181" s="274" t="s">
        <v>230</v>
      </c>
      <c r="B181" s="369"/>
      <c r="C181" s="369"/>
      <c r="D181" s="369"/>
      <c r="E181" s="369"/>
      <c r="F181" s="369"/>
      <c r="G181" s="369"/>
      <c r="H181" s="369"/>
      <c r="I181" s="275"/>
      <c r="J181" s="7"/>
      <c r="K181" s="7"/>
      <c r="L181" s="7"/>
      <c r="M181" s="7"/>
      <c r="N181" s="35">
        <f>N178/9836</f>
        <v>1082.9808865392436</v>
      </c>
      <c r="O181" s="7"/>
    </row>
  </sheetData>
  <mergeCells count="177">
    <mergeCell ref="A179:I179"/>
    <mergeCell ref="A180:I180"/>
    <mergeCell ref="A181:I181"/>
    <mergeCell ref="A173:I173"/>
    <mergeCell ref="A174:I174"/>
    <mergeCell ref="A175:I175"/>
    <mergeCell ref="A176:I176"/>
    <mergeCell ref="A177:I177"/>
    <mergeCell ref="A178:I178"/>
    <mergeCell ref="A167:I167"/>
    <mergeCell ref="A168:I168"/>
    <mergeCell ref="A169:I169"/>
    <mergeCell ref="A170:I170"/>
    <mergeCell ref="A171:I171"/>
    <mergeCell ref="A172:I172"/>
    <mergeCell ref="B152:D152"/>
    <mergeCell ref="B153:D153"/>
    <mergeCell ref="A163:I163"/>
    <mergeCell ref="A164:I164"/>
    <mergeCell ref="A165:I165"/>
    <mergeCell ref="A166:I166"/>
    <mergeCell ref="B146:D146"/>
    <mergeCell ref="B147:D147"/>
    <mergeCell ref="B148:D148"/>
    <mergeCell ref="B149:D149"/>
    <mergeCell ref="B150:D150"/>
    <mergeCell ref="B151:D151"/>
    <mergeCell ref="B142:D142"/>
    <mergeCell ref="B143:D143"/>
    <mergeCell ref="B144:D144"/>
    <mergeCell ref="J144:J145"/>
    <mergeCell ref="N144:N145"/>
    <mergeCell ref="R144:R145"/>
    <mergeCell ref="B145:D145"/>
    <mergeCell ref="K138:N138"/>
    <mergeCell ref="O138:R138"/>
    <mergeCell ref="S138:V138"/>
    <mergeCell ref="W138:Z138"/>
    <mergeCell ref="B140:D140"/>
    <mergeCell ref="B141:D141"/>
    <mergeCell ref="A125:I125"/>
    <mergeCell ref="A126:I126"/>
    <mergeCell ref="A127:I127"/>
    <mergeCell ref="A128:I128"/>
    <mergeCell ref="A129:I129"/>
    <mergeCell ref="A138:A139"/>
    <mergeCell ref="B138:D139"/>
    <mergeCell ref="E138:E139"/>
    <mergeCell ref="F138:F139"/>
    <mergeCell ref="G138:J138"/>
    <mergeCell ref="A119:I119"/>
    <mergeCell ref="A120:I120"/>
    <mergeCell ref="A121:I121"/>
    <mergeCell ref="A122:I122"/>
    <mergeCell ref="A123:I123"/>
    <mergeCell ref="A124:I124"/>
    <mergeCell ref="A113:I113"/>
    <mergeCell ref="A114:I114"/>
    <mergeCell ref="A115:I115"/>
    <mergeCell ref="A116:I116"/>
    <mergeCell ref="A117:I117"/>
    <mergeCell ref="A118:I118"/>
    <mergeCell ref="B103:D103"/>
    <mergeCell ref="B104:D104"/>
    <mergeCell ref="B105:D105"/>
    <mergeCell ref="B106:D106"/>
    <mergeCell ref="B107:D107"/>
    <mergeCell ref="A112:I112"/>
    <mergeCell ref="B97:D97"/>
    <mergeCell ref="B98:D98"/>
    <mergeCell ref="B99:D99"/>
    <mergeCell ref="B100:D100"/>
    <mergeCell ref="B101:D101"/>
    <mergeCell ref="B102:D102"/>
    <mergeCell ref="K92:N92"/>
    <mergeCell ref="O92:R92"/>
    <mergeCell ref="S92:S93"/>
    <mergeCell ref="B94:D94"/>
    <mergeCell ref="B95:D95"/>
    <mergeCell ref="B96:D96"/>
    <mergeCell ref="A81:I81"/>
    <mergeCell ref="A82:I82"/>
    <mergeCell ref="A83:I83"/>
    <mergeCell ref="A92:A93"/>
    <mergeCell ref="B92:D93"/>
    <mergeCell ref="E92:E93"/>
    <mergeCell ref="F92:F93"/>
    <mergeCell ref="G92:J92"/>
    <mergeCell ref="A75:I75"/>
    <mergeCell ref="A76:I76"/>
    <mergeCell ref="A77:I77"/>
    <mergeCell ref="A78:I78"/>
    <mergeCell ref="A79:I79"/>
    <mergeCell ref="A80:I80"/>
    <mergeCell ref="A69:I69"/>
    <mergeCell ref="A70:I70"/>
    <mergeCell ref="A71:I71"/>
    <mergeCell ref="A72:I72"/>
    <mergeCell ref="A73:I73"/>
    <mergeCell ref="A74:I74"/>
    <mergeCell ref="B61:D61"/>
    <mergeCell ref="B62:D62"/>
    <mergeCell ref="B63:D63"/>
    <mergeCell ref="A64:D64"/>
    <mergeCell ref="A67:I67"/>
    <mergeCell ref="A68:I68"/>
    <mergeCell ref="B55:D55"/>
    <mergeCell ref="B56:D56"/>
    <mergeCell ref="B57:D57"/>
    <mergeCell ref="B58:D58"/>
    <mergeCell ref="B59:D59"/>
    <mergeCell ref="B60:D60"/>
    <mergeCell ref="Q53:Q54"/>
    <mergeCell ref="R53:R54"/>
    <mergeCell ref="U53:U54"/>
    <mergeCell ref="V53:V54"/>
    <mergeCell ref="Y53:Y54"/>
    <mergeCell ref="Z53:Z54"/>
    <mergeCell ref="B52:D52"/>
    <mergeCell ref="B53:D53"/>
    <mergeCell ref="I53:I54"/>
    <mergeCell ref="J53:J54"/>
    <mergeCell ref="M53:M54"/>
    <mergeCell ref="N53:N54"/>
    <mergeCell ref="B54:D54"/>
    <mergeCell ref="K49:N49"/>
    <mergeCell ref="O49:R49"/>
    <mergeCell ref="S49:V49"/>
    <mergeCell ref="W49:Z49"/>
    <mergeCell ref="AA49:AA50"/>
    <mergeCell ref="B51:D51"/>
    <mergeCell ref="A37:I37"/>
    <mergeCell ref="A38:I39"/>
    <mergeCell ref="A40:I40"/>
    <mergeCell ref="A41:I41"/>
    <mergeCell ref="A42:I42"/>
    <mergeCell ref="A49:A50"/>
    <mergeCell ref="B49:D50"/>
    <mergeCell ref="E49:E50"/>
    <mergeCell ref="F49:F50"/>
    <mergeCell ref="G49:J49"/>
    <mergeCell ref="A30:I30"/>
    <mergeCell ref="A31:I31"/>
    <mergeCell ref="A32:I32"/>
    <mergeCell ref="A34:I34"/>
    <mergeCell ref="A35:I35"/>
    <mergeCell ref="A36:I36"/>
    <mergeCell ref="A21:D21"/>
    <mergeCell ref="A25:I25"/>
    <mergeCell ref="A26:I26"/>
    <mergeCell ref="A27:I27"/>
    <mergeCell ref="A28:I28"/>
    <mergeCell ref="A29:I29"/>
    <mergeCell ref="B15:D15"/>
    <mergeCell ref="B16:D16"/>
    <mergeCell ref="B17:D17"/>
    <mergeCell ref="B18:D18"/>
    <mergeCell ref="B19:D19"/>
    <mergeCell ref="B20:D20"/>
    <mergeCell ref="B9:D9"/>
    <mergeCell ref="B10:D10"/>
    <mergeCell ref="B11:D11"/>
    <mergeCell ref="B12:D12"/>
    <mergeCell ref="B13:D13"/>
    <mergeCell ref="B14:D14"/>
    <mergeCell ref="O5:R5"/>
    <mergeCell ref="S5:V5"/>
    <mergeCell ref="W5:Z5"/>
    <mergeCell ref="AA5:AA6"/>
    <mergeCell ref="B7:D7"/>
    <mergeCell ref="B8:D8"/>
    <mergeCell ref="A5:A6"/>
    <mergeCell ref="B5:D6"/>
    <mergeCell ref="E5:E6"/>
    <mergeCell ref="F5:F6"/>
    <mergeCell ref="G5:J5"/>
    <mergeCell ref="K5:N5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H198"/>
  <sheetViews>
    <sheetView showGridLines="0" topLeftCell="A16" workbookViewId="0">
      <selection activeCell="R194" sqref="R194"/>
    </sheetView>
  </sheetViews>
  <sheetFormatPr defaultRowHeight="15" x14ac:dyDescent="0.25"/>
  <cols>
    <col min="1" max="1" width="5" customWidth="1"/>
    <col min="4" max="4" width="6.5703125" customWidth="1"/>
    <col min="6" max="6" width="8.5703125" customWidth="1"/>
    <col min="7" max="7" width="5.85546875" customWidth="1"/>
    <col min="8" max="8" width="12.28515625" customWidth="1"/>
    <col min="9" max="9" width="4.5703125" customWidth="1"/>
    <col min="10" max="12" width="12.28515625" customWidth="1"/>
    <col min="13" max="13" width="10.85546875" customWidth="1"/>
    <col min="14" max="14" width="11.28515625" customWidth="1"/>
    <col min="15" max="17" width="13.5703125" customWidth="1"/>
    <col min="18" max="20" width="12.85546875" customWidth="1"/>
    <col min="21" max="21" width="10.7109375" customWidth="1"/>
    <col min="22" max="23" width="10.85546875" customWidth="1"/>
    <col min="24" max="24" width="12.85546875" customWidth="1"/>
    <col min="25" max="25" width="12.7109375" customWidth="1"/>
    <col min="26" max="26" width="12" customWidth="1"/>
    <col min="27" max="27" width="3.85546875" customWidth="1"/>
    <col min="28" max="28" width="10.42578125" customWidth="1"/>
    <col min="29" max="29" width="5.28515625" customWidth="1"/>
    <col min="30" max="30" width="8" customWidth="1"/>
    <col min="31" max="31" width="4.5703125" customWidth="1"/>
    <col min="32" max="32" width="10.28515625" customWidth="1"/>
    <col min="33" max="33" width="10.5703125" customWidth="1"/>
  </cols>
  <sheetData>
    <row r="1" spans="1:33" x14ac:dyDescent="0.25">
      <c r="Z1" s="1" t="s">
        <v>231</v>
      </c>
      <c r="AA1" s="1"/>
      <c r="AB1" s="1"/>
      <c r="AC1" s="1"/>
    </row>
    <row r="2" spans="1:33" x14ac:dyDescent="0.25">
      <c r="Z2" s="1" t="s">
        <v>239</v>
      </c>
      <c r="AA2" s="1"/>
      <c r="AB2" s="1"/>
      <c r="AC2" s="1"/>
    </row>
    <row r="3" spans="1:33" x14ac:dyDescent="0.25">
      <c r="Z3" s="1" t="s">
        <v>233</v>
      </c>
      <c r="AA3" s="1"/>
      <c r="AB3" s="1"/>
      <c r="AC3" s="1"/>
    </row>
    <row r="4" spans="1:33" x14ac:dyDescent="0.25">
      <c r="J4" s="121" t="s">
        <v>238</v>
      </c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Z4" s="1" t="s">
        <v>241</v>
      </c>
      <c r="AA4" s="1"/>
      <c r="AB4" s="1"/>
      <c r="AC4" s="1"/>
    </row>
    <row r="5" spans="1:33" ht="68.25" customHeight="1" x14ac:dyDescent="0.25">
      <c r="A5" s="324" t="s">
        <v>4</v>
      </c>
      <c r="B5" s="326" t="s">
        <v>71</v>
      </c>
      <c r="C5" s="327"/>
      <c r="D5" s="328"/>
      <c r="E5" s="290" t="s">
        <v>2</v>
      </c>
      <c r="F5" s="276" t="s">
        <v>11</v>
      </c>
      <c r="G5" s="284" t="s">
        <v>5</v>
      </c>
      <c r="H5" s="285"/>
      <c r="I5" s="285"/>
      <c r="J5" s="286"/>
      <c r="K5" s="123"/>
      <c r="L5" s="123"/>
      <c r="M5" s="284" t="s">
        <v>6</v>
      </c>
      <c r="N5" s="285"/>
      <c r="O5" s="285"/>
      <c r="P5" s="285"/>
      <c r="Q5" s="285"/>
      <c r="R5" s="286"/>
      <c r="S5" s="123"/>
      <c r="T5" s="123"/>
      <c r="U5" s="284" t="s">
        <v>7</v>
      </c>
      <c r="V5" s="285"/>
      <c r="W5" s="285"/>
      <c r="X5" s="286"/>
      <c r="Y5" s="284" t="s">
        <v>15</v>
      </c>
      <c r="Z5" s="285"/>
      <c r="AA5" s="285"/>
      <c r="AB5" s="286"/>
      <c r="AC5" s="284" t="s">
        <v>16</v>
      </c>
      <c r="AD5" s="285"/>
      <c r="AE5" s="285"/>
      <c r="AF5" s="286"/>
      <c r="AG5" s="281" t="s">
        <v>223</v>
      </c>
    </row>
    <row r="6" spans="1:33" ht="51" x14ac:dyDescent="0.25">
      <c r="A6" s="325"/>
      <c r="B6" s="329"/>
      <c r="C6" s="330"/>
      <c r="D6" s="331"/>
      <c r="E6" s="291"/>
      <c r="F6" s="277"/>
      <c r="G6" s="47" t="s">
        <v>12</v>
      </c>
      <c r="H6" s="47" t="s">
        <v>13</v>
      </c>
      <c r="I6" s="47" t="s">
        <v>14</v>
      </c>
      <c r="J6" s="47" t="s">
        <v>25</v>
      </c>
      <c r="K6" s="47"/>
      <c r="L6" s="47"/>
      <c r="M6" s="47" t="s">
        <v>12</v>
      </c>
      <c r="N6" s="47" t="s">
        <v>13</v>
      </c>
      <c r="O6" s="47" t="s">
        <v>14</v>
      </c>
      <c r="P6" s="47"/>
      <c r="Q6" s="47"/>
      <c r="R6" s="47" t="s">
        <v>25</v>
      </c>
      <c r="S6" s="47"/>
      <c r="T6" s="47"/>
      <c r="U6" s="47" t="s">
        <v>12</v>
      </c>
      <c r="V6" s="47" t="s">
        <v>13</v>
      </c>
      <c r="W6" s="47" t="s">
        <v>3</v>
      </c>
      <c r="X6" s="47" t="s">
        <v>25</v>
      </c>
      <c r="Y6" s="47" t="s">
        <v>12</v>
      </c>
      <c r="Z6" s="47" t="s">
        <v>13</v>
      </c>
      <c r="AA6" s="47" t="s">
        <v>23</v>
      </c>
      <c r="AB6" s="48" t="s">
        <v>25</v>
      </c>
      <c r="AC6" s="47" t="s">
        <v>12</v>
      </c>
      <c r="AD6" s="47" t="s">
        <v>13</v>
      </c>
      <c r="AE6" s="47" t="s">
        <v>23</v>
      </c>
      <c r="AF6" s="48" t="s">
        <v>25</v>
      </c>
      <c r="AG6" s="281"/>
    </row>
    <row r="7" spans="1:33" x14ac:dyDescent="0.25">
      <c r="A7" s="49" t="s">
        <v>8</v>
      </c>
      <c r="B7" s="287" t="s">
        <v>72</v>
      </c>
      <c r="C7" s="288"/>
      <c r="D7" s="289"/>
      <c r="E7" s="50" t="s">
        <v>73</v>
      </c>
      <c r="F7" s="51">
        <v>2900</v>
      </c>
      <c r="G7" s="51">
        <v>870</v>
      </c>
      <c r="H7" s="51">
        <f>F7*G7</f>
        <v>2523000</v>
      </c>
      <c r="I7" s="51">
        <v>11</v>
      </c>
      <c r="J7" s="51">
        <f>H7+20722+8197</f>
        <v>2551919</v>
      </c>
      <c r="K7" s="51"/>
      <c r="L7" s="51"/>
      <c r="M7" s="51">
        <v>294</v>
      </c>
      <c r="N7" s="51">
        <f>M7*F7-102600</f>
        <v>750000</v>
      </c>
      <c r="O7" s="51"/>
      <c r="P7" s="51"/>
      <c r="Q7" s="51"/>
      <c r="R7" s="51">
        <f>N7</f>
        <v>750000</v>
      </c>
      <c r="S7" s="51"/>
      <c r="T7" s="51"/>
      <c r="U7" s="51">
        <v>281</v>
      </c>
      <c r="V7" s="51">
        <f>F7*U7</f>
        <v>814900</v>
      </c>
      <c r="W7" s="51">
        <v>35</v>
      </c>
      <c r="X7" s="51">
        <v>1072828</v>
      </c>
      <c r="Y7" s="51">
        <v>48</v>
      </c>
      <c r="Z7" s="51">
        <f>F7*Y7</f>
        <v>139200</v>
      </c>
      <c r="AA7" s="51">
        <v>195</v>
      </c>
      <c r="AB7" s="52">
        <v>215000</v>
      </c>
      <c r="AC7" s="51">
        <v>114</v>
      </c>
      <c r="AD7" s="51">
        <f>F7*AC7</f>
        <v>330600</v>
      </c>
      <c r="AE7" s="51">
        <v>50</v>
      </c>
      <c r="AF7" s="53">
        <v>400000</v>
      </c>
      <c r="AG7" s="51">
        <f>J7+R7+X7+AB7+AF7</f>
        <v>4989747</v>
      </c>
    </row>
    <row r="8" spans="1:33" x14ac:dyDescent="0.25">
      <c r="A8" s="49" t="s">
        <v>17</v>
      </c>
      <c r="B8" s="278" t="s">
        <v>79</v>
      </c>
      <c r="C8" s="279"/>
      <c r="D8" s="280"/>
      <c r="E8" s="50" t="s">
        <v>73</v>
      </c>
      <c r="F8" s="51"/>
      <c r="G8" s="51"/>
      <c r="H8" s="51">
        <v>650000</v>
      </c>
      <c r="I8" s="51"/>
      <c r="J8" s="51">
        <f>H8</f>
        <v>650000</v>
      </c>
      <c r="K8" s="51"/>
      <c r="L8" s="51"/>
      <c r="M8" s="51"/>
      <c r="N8" s="51">
        <v>150000</v>
      </c>
      <c r="O8" s="51"/>
      <c r="P8" s="51"/>
      <c r="Q8" s="51"/>
      <c r="R8" s="51">
        <f>N8</f>
        <v>150000</v>
      </c>
      <c r="S8" s="51"/>
      <c r="T8" s="51"/>
      <c r="U8" s="51"/>
      <c r="V8" s="51">
        <v>63480</v>
      </c>
      <c r="W8" s="51">
        <v>325</v>
      </c>
      <c r="X8" s="51">
        <v>150000</v>
      </c>
      <c r="Y8" s="51"/>
      <c r="Z8" s="51">
        <v>27370</v>
      </c>
      <c r="AA8" s="51">
        <v>415</v>
      </c>
      <c r="AB8" s="51">
        <v>35000</v>
      </c>
      <c r="AC8" s="54"/>
      <c r="AD8" s="51">
        <v>12190</v>
      </c>
      <c r="AE8" s="51"/>
      <c r="AF8" s="55">
        <v>100000</v>
      </c>
      <c r="AG8" s="51">
        <f t="shared" ref="AG8:AG19" si="0">J8+R8+X8+AB8+AF8</f>
        <v>1085000</v>
      </c>
    </row>
    <row r="9" spans="1:33" x14ac:dyDescent="0.25">
      <c r="A9" s="49" t="s">
        <v>20</v>
      </c>
      <c r="B9" s="314" t="s">
        <v>80</v>
      </c>
      <c r="C9" s="315"/>
      <c r="D9" s="316"/>
      <c r="E9" s="50" t="s">
        <v>73</v>
      </c>
      <c r="F9" s="51">
        <v>700</v>
      </c>
      <c r="G9" s="51">
        <v>870</v>
      </c>
      <c r="H9" s="51">
        <f>F9*G9</f>
        <v>609000</v>
      </c>
      <c r="I9" s="51"/>
      <c r="J9" s="51">
        <f>H9+547</f>
        <v>609547</v>
      </c>
      <c r="K9" s="51"/>
      <c r="L9" s="51"/>
      <c r="M9" s="51"/>
      <c r="N9" s="51">
        <f>F9*M9</f>
        <v>0</v>
      </c>
      <c r="O9" s="51"/>
      <c r="P9" s="51"/>
      <c r="Q9" s="51"/>
      <c r="R9" s="51">
        <v>399036</v>
      </c>
      <c r="S9" s="51"/>
      <c r="T9" s="51"/>
      <c r="U9" s="51"/>
      <c r="V9" s="51">
        <f>F9*U9</f>
        <v>0</v>
      </c>
      <c r="W9" s="51">
        <v>13</v>
      </c>
      <c r="X9" s="51">
        <v>401823</v>
      </c>
      <c r="Y9" s="51"/>
      <c r="Z9" s="51">
        <f>F9*Y9</f>
        <v>0</v>
      </c>
      <c r="AA9" s="51">
        <v>45</v>
      </c>
      <c r="AB9" s="51">
        <v>397564</v>
      </c>
      <c r="AC9" s="51"/>
      <c r="AD9" s="51">
        <f>AC9*F9</f>
        <v>0</v>
      </c>
      <c r="AE9" s="51">
        <v>165</v>
      </c>
      <c r="AF9" s="55">
        <v>261300</v>
      </c>
      <c r="AG9" s="51">
        <f t="shared" si="0"/>
        <v>2069270</v>
      </c>
    </row>
    <row r="10" spans="1:33" x14ac:dyDescent="0.25">
      <c r="A10" s="49" t="s">
        <v>27</v>
      </c>
      <c r="B10" s="314" t="s">
        <v>81</v>
      </c>
      <c r="C10" s="315"/>
      <c r="D10" s="316"/>
      <c r="E10" s="50" t="s">
        <v>73</v>
      </c>
      <c r="F10" s="51"/>
      <c r="G10" s="51"/>
      <c r="H10" s="51">
        <f>F10*G9</f>
        <v>0</v>
      </c>
      <c r="I10" s="51"/>
      <c r="J10" s="51"/>
      <c r="K10" s="51"/>
      <c r="L10" s="51"/>
      <c r="M10" s="51"/>
      <c r="N10" s="51">
        <f>F10*M9</f>
        <v>0</v>
      </c>
      <c r="O10" s="51"/>
      <c r="P10" s="51"/>
      <c r="Q10" s="51"/>
      <c r="R10" s="51"/>
      <c r="S10" s="51"/>
      <c r="T10" s="51"/>
      <c r="U10" s="51"/>
      <c r="V10" s="51">
        <f>U9*F10</f>
        <v>0</v>
      </c>
      <c r="W10" s="51">
        <v>-54</v>
      </c>
      <c r="X10" s="51"/>
      <c r="Y10" s="51"/>
      <c r="Z10" s="51">
        <f>F10*Y9</f>
        <v>0</v>
      </c>
      <c r="AA10" s="51">
        <v>-40</v>
      </c>
      <c r="AB10" s="51"/>
      <c r="AC10" s="51"/>
      <c r="AD10" s="51">
        <f>AC9*F10</f>
        <v>0</v>
      </c>
      <c r="AE10" s="51">
        <v>-17</v>
      </c>
      <c r="AF10" s="55"/>
      <c r="AG10" s="51">
        <f t="shared" si="0"/>
        <v>0</v>
      </c>
    </row>
    <row r="11" spans="1:33" x14ac:dyDescent="0.25">
      <c r="A11" s="49" t="s">
        <v>83</v>
      </c>
      <c r="B11" s="314" t="s">
        <v>84</v>
      </c>
      <c r="C11" s="315"/>
      <c r="D11" s="316"/>
      <c r="E11" s="50" t="s">
        <v>73</v>
      </c>
      <c r="F11" s="51">
        <v>1800</v>
      </c>
      <c r="G11" s="51"/>
      <c r="H11" s="51">
        <f>F11*G9</f>
        <v>1566000</v>
      </c>
      <c r="I11" s="51">
        <v>-11</v>
      </c>
      <c r="J11" s="51">
        <f>H11-22511</f>
        <v>1543489</v>
      </c>
      <c r="K11" s="51"/>
      <c r="L11" s="51"/>
      <c r="M11" s="51"/>
      <c r="N11" s="51">
        <f>F11*M9</f>
        <v>0</v>
      </c>
      <c r="O11" s="51">
        <v>43</v>
      </c>
      <c r="P11" s="51"/>
      <c r="Q11" s="51"/>
      <c r="R11" s="51">
        <v>797646</v>
      </c>
      <c r="S11" s="51"/>
      <c r="T11" s="51"/>
      <c r="U11" s="51"/>
      <c r="V11" s="51">
        <f>F11*U9</f>
        <v>0</v>
      </c>
      <c r="W11" s="51">
        <v>73</v>
      </c>
      <c r="X11" s="51">
        <v>664337</v>
      </c>
      <c r="Y11" s="51"/>
      <c r="Z11" s="51">
        <f>F11*Y9</f>
        <v>0</v>
      </c>
      <c r="AA11" s="51">
        <v>272</v>
      </c>
      <c r="AB11" s="51">
        <v>400000</v>
      </c>
      <c r="AC11" s="51"/>
      <c r="AD11" s="51">
        <f>F11*AC9</f>
        <v>0</v>
      </c>
      <c r="AE11" s="51">
        <v>78</v>
      </c>
      <c r="AF11" s="55">
        <v>430000</v>
      </c>
      <c r="AG11" s="51">
        <f t="shared" si="0"/>
        <v>3835472</v>
      </c>
    </row>
    <row r="12" spans="1:33" x14ac:dyDescent="0.25">
      <c r="A12" s="56" t="s">
        <v>85</v>
      </c>
      <c r="B12" s="314" t="s">
        <v>86</v>
      </c>
      <c r="C12" s="315"/>
      <c r="D12" s="316"/>
      <c r="E12" s="50" t="s">
        <v>73</v>
      </c>
      <c r="F12" s="51">
        <v>120</v>
      </c>
      <c r="G12" s="51"/>
      <c r="H12" s="51">
        <f>F12*G9+2440</f>
        <v>106840</v>
      </c>
      <c r="I12" s="51"/>
      <c r="J12" s="51">
        <f>H12-2840</f>
        <v>104000</v>
      </c>
      <c r="K12" s="51"/>
      <c r="L12" s="51"/>
      <c r="M12" s="51"/>
      <c r="N12" s="51"/>
      <c r="O12" s="51"/>
      <c r="P12" s="51"/>
      <c r="Q12" s="51"/>
      <c r="R12" s="51">
        <v>32000</v>
      </c>
      <c r="S12" s="51"/>
      <c r="T12" s="51"/>
      <c r="U12" s="51"/>
      <c r="V12" s="51"/>
      <c r="W12" s="51"/>
      <c r="X12" s="51">
        <v>277432</v>
      </c>
      <c r="Y12" s="51"/>
      <c r="Z12" s="51"/>
      <c r="AA12" s="51"/>
      <c r="AB12" s="51">
        <v>23000</v>
      </c>
      <c r="AC12" s="51"/>
      <c r="AD12" s="51"/>
      <c r="AE12" s="51"/>
      <c r="AF12" s="55">
        <v>32000</v>
      </c>
      <c r="AG12" s="51">
        <f t="shared" si="0"/>
        <v>468432</v>
      </c>
    </row>
    <row r="13" spans="1:33" x14ac:dyDescent="0.25">
      <c r="A13" s="57" t="s">
        <v>87</v>
      </c>
      <c r="B13" s="321" t="s">
        <v>88</v>
      </c>
      <c r="C13" s="322"/>
      <c r="D13" s="323"/>
      <c r="E13" s="58" t="s">
        <v>73</v>
      </c>
      <c r="F13" s="59">
        <v>2150</v>
      </c>
      <c r="G13" s="59"/>
      <c r="H13" s="59">
        <f>F13*G9</f>
        <v>1870500</v>
      </c>
      <c r="I13" s="59"/>
      <c r="J13" s="59">
        <f>H13+20563</f>
        <v>1891063</v>
      </c>
      <c r="K13" s="59"/>
      <c r="L13" s="59"/>
      <c r="M13" s="59"/>
      <c r="N13" s="59">
        <f>M9*F13</f>
        <v>0</v>
      </c>
      <c r="O13" s="59"/>
      <c r="P13" s="59"/>
      <c r="Q13" s="59"/>
      <c r="R13" s="59">
        <v>674499</v>
      </c>
      <c r="S13" s="59"/>
      <c r="T13" s="59"/>
      <c r="U13" s="59"/>
      <c r="V13" s="59">
        <f>F13*U9</f>
        <v>0</v>
      </c>
      <c r="W13" s="59"/>
      <c r="X13" s="59">
        <v>429413</v>
      </c>
      <c r="Y13" s="59"/>
      <c r="Z13" s="59"/>
      <c r="AA13" s="59"/>
      <c r="AB13" s="59">
        <v>186000</v>
      </c>
      <c r="AC13" s="59"/>
      <c r="AD13" s="59">
        <f>AC9*F13</f>
        <v>0</v>
      </c>
      <c r="AE13" s="59"/>
      <c r="AF13" s="60">
        <v>455024</v>
      </c>
      <c r="AG13" s="51">
        <f t="shared" si="0"/>
        <v>3635999</v>
      </c>
    </row>
    <row r="14" spans="1:33" x14ac:dyDescent="0.25">
      <c r="A14" s="56" t="s">
        <v>89</v>
      </c>
      <c r="B14" s="295" t="s">
        <v>95</v>
      </c>
      <c r="C14" s="295"/>
      <c r="D14" s="295"/>
      <c r="E14" s="58" t="s">
        <v>73</v>
      </c>
      <c r="F14" s="51">
        <v>100</v>
      </c>
      <c r="G14" s="51"/>
      <c r="H14" s="51">
        <f>F14*G9</f>
        <v>87000</v>
      </c>
      <c r="I14" s="51"/>
      <c r="J14" s="51">
        <f>H14-2448</f>
        <v>84552</v>
      </c>
      <c r="K14" s="51"/>
      <c r="L14" s="51"/>
      <c r="M14" s="51"/>
      <c r="N14" s="51">
        <f>F14*M9</f>
        <v>0</v>
      </c>
      <c r="O14" s="51"/>
      <c r="P14" s="51"/>
      <c r="Q14" s="51"/>
      <c r="R14" s="51">
        <v>31200</v>
      </c>
      <c r="S14" s="51"/>
      <c r="T14" s="51"/>
      <c r="U14" s="51"/>
      <c r="V14" s="51">
        <f>F14*U9</f>
        <v>0</v>
      </c>
      <c r="W14" s="51"/>
      <c r="X14" s="51">
        <v>28704</v>
      </c>
      <c r="Y14" s="51"/>
      <c r="Z14" s="51">
        <f>Y9*F14</f>
        <v>0</v>
      </c>
      <c r="AA14" s="51"/>
      <c r="AB14" s="51">
        <v>6136</v>
      </c>
      <c r="AC14" s="51"/>
      <c r="AD14" s="51">
        <v>12900</v>
      </c>
      <c r="AE14" s="51"/>
      <c r="AF14" s="55">
        <v>13416</v>
      </c>
      <c r="AG14" s="51">
        <f t="shared" si="0"/>
        <v>164008</v>
      </c>
    </row>
    <row r="15" spans="1:33" x14ac:dyDescent="0.25">
      <c r="A15" s="49" t="s">
        <v>91</v>
      </c>
      <c r="B15" s="287" t="s">
        <v>96</v>
      </c>
      <c r="C15" s="288"/>
      <c r="D15" s="289"/>
      <c r="E15" s="58" t="s">
        <v>73</v>
      </c>
      <c r="F15" s="51"/>
      <c r="G15" s="51"/>
      <c r="H15" s="51"/>
      <c r="I15" s="51"/>
      <c r="J15" s="51">
        <v>82104</v>
      </c>
      <c r="K15" s="51"/>
      <c r="L15" s="51"/>
      <c r="M15" s="51"/>
      <c r="N15" s="51"/>
      <c r="O15" s="51"/>
      <c r="P15" s="51"/>
      <c r="Q15" s="51"/>
      <c r="R15" s="51">
        <v>114448</v>
      </c>
      <c r="S15" s="51"/>
      <c r="T15" s="51"/>
      <c r="U15" s="51"/>
      <c r="V15" s="51"/>
      <c r="W15" s="51"/>
      <c r="X15" s="51"/>
      <c r="Y15" s="51"/>
      <c r="Z15" s="51"/>
      <c r="AA15" s="51"/>
      <c r="AB15" s="51">
        <v>12448</v>
      </c>
      <c r="AC15" s="51"/>
      <c r="AD15" s="51"/>
      <c r="AE15" s="51"/>
      <c r="AF15" s="55"/>
      <c r="AG15" s="51">
        <f t="shared" si="0"/>
        <v>209000</v>
      </c>
    </row>
    <row r="16" spans="1:33" s="32" customFormat="1" ht="30" customHeight="1" x14ac:dyDescent="0.25">
      <c r="A16" s="49" t="s">
        <v>93</v>
      </c>
      <c r="B16" s="317" t="s">
        <v>222</v>
      </c>
      <c r="C16" s="318"/>
      <c r="D16" s="319"/>
      <c r="E16" s="58" t="s">
        <v>73</v>
      </c>
      <c r="F16" s="61"/>
      <c r="G16" s="61"/>
      <c r="H16" s="61"/>
      <c r="I16" s="61"/>
      <c r="J16" s="49">
        <f>1780000+40600</f>
        <v>1820600</v>
      </c>
      <c r="K16" s="49"/>
      <c r="L16" s="49"/>
      <c r="M16" s="61"/>
      <c r="N16" s="61"/>
      <c r="O16" s="61"/>
      <c r="P16" s="61"/>
      <c r="Q16" s="61"/>
      <c r="R16" s="49">
        <v>836000</v>
      </c>
      <c r="S16" s="49"/>
      <c r="T16" s="49"/>
      <c r="U16" s="61"/>
      <c r="V16" s="61"/>
      <c r="W16" s="61"/>
      <c r="X16" s="49">
        <v>512000</v>
      </c>
      <c r="Y16" s="61"/>
      <c r="Z16" s="61"/>
      <c r="AA16" s="61"/>
      <c r="AB16" s="49">
        <f>100000+6800</f>
        <v>106800</v>
      </c>
      <c r="AC16" s="61"/>
      <c r="AD16" s="61"/>
      <c r="AE16" s="61"/>
      <c r="AF16" s="62">
        <f>200000+27100</f>
        <v>227100</v>
      </c>
      <c r="AG16" s="51">
        <f t="shared" si="0"/>
        <v>3502500</v>
      </c>
    </row>
    <row r="17" spans="1:33" ht="27" customHeight="1" x14ac:dyDescent="0.25">
      <c r="A17" s="63" t="s">
        <v>99</v>
      </c>
      <c r="B17" s="340" t="s">
        <v>98</v>
      </c>
      <c r="C17" s="341"/>
      <c r="D17" s="342"/>
      <c r="E17" s="58" t="s">
        <v>73</v>
      </c>
      <c r="F17" s="64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60"/>
      <c r="AG17" s="51">
        <f t="shared" si="0"/>
        <v>0</v>
      </c>
    </row>
    <row r="18" spans="1:33" x14ac:dyDescent="0.25">
      <c r="A18" s="49" t="s">
        <v>100</v>
      </c>
      <c r="B18" s="287" t="s">
        <v>90</v>
      </c>
      <c r="C18" s="288"/>
      <c r="D18" s="289"/>
      <c r="E18" s="58" t="s">
        <v>73</v>
      </c>
      <c r="F18" s="61"/>
      <c r="G18" s="51"/>
      <c r="H18" s="51"/>
      <c r="I18" s="51"/>
      <c r="J18" s="51">
        <f>1187375+183430</f>
        <v>1370805</v>
      </c>
      <c r="K18" s="51"/>
      <c r="L18" s="51"/>
      <c r="M18" s="51"/>
      <c r="N18" s="51"/>
      <c r="O18" s="51"/>
      <c r="P18" s="51"/>
      <c r="Q18" s="51"/>
      <c r="R18" s="51">
        <f>37249+221734</f>
        <v>258983</v>
      </c>
      <c r="S18" s="51"/>
      <c r="T18" s="51"/>
      <c r="U18" s="51"/>
      <c r="V18" s="51"/>
      <c r="W18" s="51"/>
      <c r="X18" s="51">
        <f>2909067+95584</f>
        <v>3004651</v>
      </c>
      <c r="Y18" s="51"/>
      <c r="Z18" s="51"/>
      <c r="AA18" s="51"/>
      <c r="AB18" s="51">
        <v>102196</v>
      </c>
      <c r="AC18" s="51"/>
      <c r="AD18" s="51"/>
      <c r="AE18" s="51"/>
      <c r="AF18" s="55">
        <f>1355612+57847</f>
        <v>1413459</v>
      </c>
      <c r="AG18" s="51">
        <f t="shared" si="0"/>
        <v>6150094</v>
      </c>
    </row>
    <row r="19" spans="1:33" x14ac:dyDescent="0.25">
      <c r="A19" s="63" t="s">
        <v>101</v>
      </c>
      <c r="B19" s="335" t="s">
        <v>102</v>
      </c>
      <c r="C19" s="335"/>
      <c r="D19" s="335"/>
      <c r="E19" s="58" t="s">
        <v>73</v>
      </c>
      <c r="F19" s="64"/>
      <c r="G19" s="59"/>
      <c r="H19" s="59"/>
      <c r="I19" s="59"/>
      <c r="J19" s="59">
        <v>5174659</v>
      </c>
      <c r="K19" s="59"/>
      <c r="L19" s="59"/>
      <c r="M19" s="59"/>
      <c r="N19" s="59"/>
      <c r="O19" s="59"/>
      <c r="P19" s="59"/>
      <c r="Q19" s="59"/>
      <c r="R19" s="59">
        <v>2685528</v>
      </c>
      <c r="S19" s="59"/>
      <c r="T19" s="59"/>
      <c r="U19" s="59"/>
      <c r="V19" s="59"/>
      <c r="W19" s="59"/>
      <c r="X19" s="59">
        <v>3223779</v>
      </c>
      <c r="Y19" s="59"/>
      <c r="Z19" s="59"/>
      <c r="AA19" s="59"/>
      <c r="AB19" s="59">
        <v>850000</v>
      </c>
      <c r="AC19" s="59"/>
      <c r="AD19" s="59"/>
      <c r="AE19" s="59"/>
      <c r="AF19" s="60">
        <v>2041307</v>
      </c>
      <c r="AG19" s="51">
        <f t="shared" si="0"/>
        <v>13975273</v>
      </c>
    </row>
    <row r="20" spans="1:33" x14ac:dyDescent="0.25">
      <c r="A20" s="49" t="s">
        <v>220</v>
      </c>
      <c r="B20" s="385" t="s">
        <v>221</v>
      </c>
      <c r="C20" s="386"/>
      <c r="D20" s="387"/>
      <c r="E20" s="58" t="s">
        <v>73</v>
      </c>
      <c r="F20" s="64"/>
      <c r="G20" s="59"/>
      <c r="H20" s="59"/>
      <c r="I20" s="59"/>
      <c r="J20" s="59">
        <v>465700</v>
      </c>
      <c r="K20" s="59"/>
      <c r="L20" s="59"/>
      <c r="M20" s="59"/>
      <c r="N20" s="59"/>
      <c r="O20" s="59"/>
      <c r="P20" s="59"/>
      <c r="Q20" s="59"/>
      <c r="R20" s="59">
        <f>78400</f>
        <v>78400</v>
      </c>
      <c r="S20" s="59"/>
      <c r="T20" s="59"/>
      <c r="U20" s="59"/>
      <c r="V20" s="59"/>
      <c r="W20" s="59"/>
      <c r="X20" s="59">
        <f>472100-40100+31800</f>
        <v>463800</v>
      </c>
      <c r="Y20" s="59"/>
      <c r="Z20" s="59"/>
      <c r="AA20" s="59"/>
      <c r="AB20" s="59"/>
      <c r="AC20" s="59"/>
      <c r="AD20" s="59"/>
      <c r="AE20" s="59"/>
      <c r="AF20" s="60">
        <v>40100</v>
      </c>
      <c r="AG20" s="51">
        <f>J20+R20+X20+AB20+AF20</f>
        <v>1048000</v>
      </c>
    </row>
    <row r="21" spans="1:33" x14ac:dyDescent="0.25">
      <c r="A21" s="336" t="s">
        <v>223</v>
      </c>
      <c r="B21" s="337"/>
      <c r="C21" s="337"/>
      <c r="D21" s="338"/>
      <c r="E21" s="65"/>
      <c r="F21" s="65"/>
      <c r="G21" s="65"/>
      <c r="H21" s="65"/>
      <c r="I21" s="65"/>
      <c r="J21" s="65">
        <f>SUM(J7:J20)</f>
        <v>16348438</v>
      </c>
      <c r="K21" s="65"/>
      <c r="L21" s="65"/>
      <c r="M21" s="65"/>
      <c r="N21" s="65"/>
      <c r="O21" s="65"/>
      <c r="P21" s="65"/>
      <c r="Q21" s="65"/>
      <c r="R21" s="65">
        <f>SUM(R7:R20)</f>
        <v>6807740</v>
      </c>
      <c r="S21" s="65"/>
      <c r="T21" s="65"/>
      <c r="U21" s="65"/>
      <c r="V21" s="65"/>
      <c r="W21" s="65"/>
      <c r="X21" s="65">
        <f>SUM(X7:X20)</f>
        <v>10228767</v>
      </c>
      <c r="Y21" s="65"/>
      <c r="Z21" s="65"/>
      <c r="AA21" s="65"/>
      <c r="AB21" s="65">
        <f>SUM(AB7:AB20)</f>
        <v>2334144</v>
      </c>
      <c r="AC21" s="65"/>
      <c r="AD21" s="65"/>
      <c r="AE21" s="65"/>
      <c r="AF21" s="65">
        <f>SUM(AF7:AF20)</f>
        <v>5413706</v>
      </c>
      <c r="AG21" s="65">
        <f>J21+R21+X21+AB21+AF21</f>
        <v>41132795</v>
      </c>
    </row>
    <row r="22" spans="1:33" x14ac:dyDescent="0.25">
      <c r="A22" s="54"/>
      <c r="B22" s="54" t="s">
        <v>113</v>
      </c>
      <c r="C22" s="54"/>
      <c r="D22" s="54"/>
      <c r="E22" s="54"/>
      <c r="F22" s="54"/>
      <c r="G22" s="54"/>
      <c r="H22" s="54"/>
      <c r="I22" s="54"/>
      <c r="J22" s="54">
        <f>J21/G9</f>
        <v>18791.30804597701</v>
      </c>
      <c r="K22" s="54"/>
      <c r="L22" s="54"/>
      <c r="M22" s="54"/>
      <c r="N22" s="54"/>
      <c r="O22" s="54"/>
      <c r="P22" s="54"/>
      <c r="Q22" s="54"/>
      <c r="R22" s="54">
        <f>R21/M7</f>
        <v>23155.578231292518</v>
      </c>
      <c r="S22" s="54"/>
      <c r="T22" s="54"/>
      <c r="U22" s="54"/>
      <c r="V22" s="54"/>
      <c r="W22" s="54"/>
      <c r="X22" s="54">
        <f>X21/U7</f>
        <v>36401.306049822066</v>
      </c>
      <c r="Y22" s="54"/>
      <c r="Z22" s="54"/>
      <c r="AA22" s="54"/>
      <c r="AB22" s="54">
        <f>AB21/Y7</f>
        <v>48628</v>
      </c>
      <c r="AC22" s="54"/>
      <c r="AD22" s="54"/>
      <c r="AE22" s="54"/>
      <c r="AF22" s="54">
        <f>AF21/AC7</f>
        <v>47488.649122807015</v>
      </c>
      <c r="AG22" s="66">
        <f>J22+R22+X22+AB22+AF22</f>
        <v>174464.84144989861</v>
      </c>
    </row>
    <row r="24" spans="1:33" x14ac:dyDescent="0.25">
      <c r="L24" t="s">
        <v>252</v>
      </c>
    </row>
    <row r="25" spans="1:33" ht="30" x14ac:dyDescent="0.25">
      <c r="A25" s="305" t="s">
        <v>224</v>
      </c>
      <c r="B25" s="306"/>
      <c r="C25" s="306"/>
      <c r="D25" s="306"/>
      <c r="E25" s="306"/>
      <c r="F25" s="306"/>
      <c r="G25" s="306"/>
      <c r="H25" s="306"/>
      <c r="I25" s="307"/>
      <c r="J25" s="45" t="s">
        <v>185</v>
      </c>
      <c r="K25" s="130" t="s">
        <v>242</v>
      </c>
      <c r="L25" s="133" t="s">
        <v>243</v>
      </c>
      <c r="M25" s="45" t="s">
        <v>186</v>
      </c>
      <c r="N25" s="44" t="s">
        <v>187</v>
      </c>
      <c r="O25" s="45" t="s">
        <v>188</v>
      </c>
      <c r="P25" s="130" t="s">
        <v>242</v>
      </c>
      <c r="Q25" s="133" t="s">
        <v>243</v>
      </c>
      <c r="R25" s="45" t="s">
        <v>189</v>
      </c>
      <c r="S25" s="130" t="s">
        <v>242</v>
      </c>
      <c r="T25" s="133" t="s">
        <v>243</v>
      </c>
      <c r="U25" s="45" t="s">
        <v>244</v>
      </c>
      <c r="V25" s="45" t="s">
        <v>245</v>
      </c>
      <c r="W25" s="3" t="s">
        <v>246</v>
      </c>
      <c r="X25" s="44" t="s">
        <v>247</v>
      </c>
      <c r="Y25" s="3" t="s">
        <v>249</v>
      </c>
      <c r="Z25" s="3" t="s">
        <v>251</v>
      </c>
    </row>
    <row r="26" spans="1:33" x14ac:dyDescent="0.25">
      <c r="A26" s="305" t="s">
        <v>170</v>
      </c>
      <c r="B26" s="306"/>
      <c r="C26" s="306"/>
      <c r="D26" s="306"/>
      <c r="E26" s="306"/>
      <c r="F26" s="306"/>
      <c r="G26" s="306"/>
      <c r="H26" s="306"/>
      <c r="I26" s="307"/>
      <c r="J26" s="3">
        <f>SUM(J27:J29)</f>
        <v>7649938</v>
      </c>
      <c r="K26" s="131">
        <f>SUM(K27:K29)</f>
        <v>764993.8</v>
      </c>
      <c r="L26" s="134">
        <f>SUM(L27:L29)</f>
        <v>6884944.2000000002</v>
      </c>
      <c r="M26" s="3">
        <f t="shared" ref="M26:T26" si="1">SUM(M27:M29)</f>
        <v>2666547</v>
      </c>
      <c r="N26" s="3">
        <f t="shared" si="1"/>
        <v>2934177</v>
      </c>
      <c r="O26" s="3">
        <f t="shared" si="1"/>
        <v>584384</v>
      </c>
      <c r="P26" s="131">
        <f t="shared" si="1"/>
        <v>182620</v>
      </c>
      <c r="Q26" s="134">
        <f t="shared" si="1"/>
        <v>401764</v>
      </c>
      <c r="R26" s="3">
        <f t="shared" si="1"/>
        <v>1267640</v>
      </c>
      <c r="S26" s="131">
        <f t="shared" si="1"/>
        <v>373501.07142857142</v>
      </c>
      <c r="T26" s="134">
        <f t="shared" si="1"/>
        <v>894138.92857142852</v>
      </c>
      <c r="U26" s="3">
        <f>SUM(U27:U29)</f>
        <v>1321114.8714285714</v>
      </c>
      <c r="V26" s="3">
        <f>SUM(V27:V29)</f>
        <v>13781571.128571428</v>
      </c>
      <c r="W26" s="3">
        <f t="shared" ref="W26:Z26" si="2">SUM(W27:W29)</f>
        <v>5539004.6641148329</v>
      </c>
      <c r="X26" s="3">
        <f t="shared" si="2"/>
        <v>6537532.7158090025</v>
      </c>
      <c r="Y26" s="3">
        <f t="shared" si="2"/>
        <v>1431851.545825603</v>
      </c>
      <c r="Z26" s="3">
        <f t="shared" si="2"/>
        <v>273182.20282199001</v>
      </c>
    </row>
    <row r="27" spans="1:33" ht="30" customHeight="1" x14ac:dyDescent="0.25">
      <c r="A27" s="308" t="s">
        <v>178</v>
      </c>
      <c r="B27" s="309"/>
      <c r="C27" s="309"/>
      <c r="D27" s="309"/>
      <c r="E27" s="309"/>
      <c r="F27" s="309"/>
      <c r="G27" s="309"/>
      <c r="H27" s="309"/>
      <c r="I27" s="310"/>
      <c r="J27" s="3"/>
      <c r="K27" s="131"/>
      <c r="L27" s="134"/>
      <c r="M27" s="3"/>
      <c r="N27" s="3"/>
      <c r="O27" s="3"/>
      <c r="P27" s="131"/>
      <c r="Q27" s="134"/>
      <c r="R27" s="3"/>
      <c r="S27" s="131"/>
      <c r="T27" s="134"/>
      <c r="U27" s="3"/>
      <c r="V27" s="3"/>
      <c r="W27" s="3"/>
      <c r="X27" s="3"/>
      <c r="Y27" s="3"/>
      <c r="Z27" s="3"/>
    </row>
    <row r="28" spans="1:33" ht="17.25" customHeight="1" x14ac:dyDescent="0.25">
      <c r="A28" s="296" t="s">
        <v>176</v>
      </c>
      <c r="B28" s="297"/>
      <c r="C28" s="297"/>
      <c r="D28" s="297"/>
      <c r="E28" s="297"/>
      <c r="F28" s="297"/>
      <c r="G28" s="297"/>
      <c r="H28" s="297"/>
      <c r="I28" s="298"/>
      <c r="J28" s="43">
        <f>J12+J13+J16</f>
        <v>3815663</v>
      </c>
      <c r="K28" s="132">
        <f>J28/870*87</f>
        <v>381566.3</v>
      </c>
      <c r="L28" s="135">
        <f>J28/870*783</f>
        <v>3434096.7</v>
      </c>
      <c r="M28" s="43">
        <f>R12+R13+R16+R20</f>
        <v>1620899</v>
      </c>
      <c r="N28" s="43">
        <f>X12+X13+X16</f>
        <v>1218845</v>
      </c>
      <c r="O28" s="43">
        <f>AB12+AB13+AB16+AB20</f>
        <v>315800</v>
      </c>
      <c r="P28" s="132">
        <f>O28/48*15</f>
        <v>98687.5</v>
      </c>
      <c r="Q28" s="135">
        <f>O28/48*33</f>
        <v>217112.5</v>
      </c>
      <c r="R28" s="43">
        <f>AF12+AF13+AF16+AF20</f>
        <v>754224</v>
      </c>
      <c r="S28" s="132">
        <f>R28/112*33</f>
        <v>222226.71428571429</v>
      </c>
      <c r="T28" s="135">
        <f>R28/112*79</f>
        <v>531997.28571428568</v>
      </c>
      <c r="U28" s="43">
        <f>K28+P28+S28</f>
        <v>702480.51428571425</v>
      </c>
      <c r="V28" s="43">
        <f>L28+M28+N28+Q28+T28</f>
        <v>7022950.4857142856</v>
      </c>
      <c r="W28" s="3">
        <f>V28/W46*W44</f>
        <v>2822621.2478468898</v>
      </c>
      <c r="X28" s="3">
        <f>V28/W46*X44</f>
        <v>3331461.1326628258</v>
      </c>
      <c r="Y28" s="3">
        <f>V28/W46*Y44</f>
        <v>729657.1933209647</v>
      </c>
      <c r="Z28" s="3">
        <f>V28/W46*Z44</f>
        <v>139210.91188360512</v>
      </c>
    </row>
    <row r="29" spans="1:33" x14ac:dyDescent="0.25">
      <c r="A29" s="296" t="s">
        <v>175</v>
      </c>
      <c r="B29" s="297"/>
      <c r="C29" s="297"/>
      <c r="D29" s="297"/>
      <c r="E29" s="297"/>
      <c r="F29" s="297"/>
      <c r="G29" s="297"/>
      <c r="H29" s="297"/>
      <c r="I29" s="298"/>
      <c r="J29" s="43">
        <f>J7+J8+J14+J15+J20</f>
        <v>3834275</v>
      </c>
      <c r="K29" s="132">
        <f>J29/870*87</f>
        <v>383427.5</v>
      </c>
      <c r="L29" s="135">
        <f>J29/870*783</f>
        <v>3450847.5</v>
      </c>
      <c r="M29" s="43">
        <f>R7+R8+R14+R15</f>
        <v>1045648</v>
      </c>
      <c r="N29" s="43">
        <v>1715332</v>
      </c>
      <c r="O29" s="43">
        <f>AB7+AB8+AB14+AB15</f>
        <v>268584</v>
      </c>
      <c r="P29" s="132">
        <f t="shared" ref="P29" si="3">O29/48*15</f>
        <v>83932.5</v>
      </c>
      <c r="Q29" s="135">
        <f t="shared" ref="Q29" si="4">O29/48*33</f>
        <v>184651.5</v>
      </c>
      <c r="R29" s="43">
        <f>AF7+AF8+AF14+AF15</f>
        <v>513416</v>
      </c>
      <c r="S29" s="132">
        <f>R29/112*33</f>
        <v>151274.35714285713</v>
      </c>
      <c r="T29" s="135">
        <f>R29/112*79</f>
        <v>362141.64285714284</v>
      </c>
      <c r="U29" s="43">
        <f>K29+P29+S29</f>
        <v>618634.35714285716</v>
      </c>
      <c r="V29" s="43">
        <f>L29+M29+N29+Q29+T29</f>
        <v>6758620.6428571427</v>
      </c>
      <c r="W29" s="3">
        <f>V29/W46*W44</f>
        <v>2716383.4162679426</v>
      </c>
      <c r="X29" s="3">
        <f>V29/W46*X44</f>
        <v>3206071.5831461772</v>
      </c>
      <c r="Y29" s="3">
        <f>V29/W46*Y44</f>
        <v>702194.35250463826</v>
      </c>
      <c r="Z29" s="3">
        <f>V29/W46*Z44</f>
        <v>133971.29093838492</v>
      </c>
    </row>
    <row r="30" spans="1:33" x14ac:dyDescent="0.25">
      <c r="A30" s="311" t="s">
        <v>177</v>
      </c>
      <c r="B30" s="312"/>
      <c r="C30" s="312"/>
      <c r="D30" s="312"/>
      <c r="E30" s="312"/>
      <c r="F30" s="312"/>
      <c r="G30" s="312"/>
      <c r="H30" s="312"/>
      <c r="I30" s="313"/>
      <c r="J30" s="43">
        <f t="shared" ref="J30:T30" si="5">SUM(J31:J40)</f>
        <v>11744046.800000001</v>
      </c>
      <c r="K30" s="132">
        <f t="shared" si="5"/>
        <v>1174404.68</v>
      </c>
      <c r="L30" s="135">
        <f t="shared" si="5"/>
        <v>10569642.120000001</v>
      </c>
      <c r="M30" s="43">
        <f t="shared" si="5"/>
        <v>5671122.0999999996</v>
      </c>
      <c r="N30" s="43">
        <f t="shared" si="5"/>
        <v>9788187</v>
      </c>
      <c r="O30" s="43">
        <f t="shared" si="5"/>
        <v>2789582.2</v>
      </c>
      <c r="P30" s="132">
        <f t="shared" si="5"/>
        <v>871744.4375</v>
      </c>
      <c r="Q30" s="135">
        <f t="shared" si="5"/>
        <v>1917837.7625</v>
      </c>
      <c r="R30" s="43">
        <f t="shared" si="5"/>
        <v>5353038.5</v>
      </c>
      <c r="S30" s="132">
        <f t="shared" si="5"/>
        <v>1577234.5580357143</v>
      </c>
      <c r="T30" s="135">
        <f t="shared" si="5"/>
        <v>3775803.9419642854</v>
      </c>
      <c r="U30" s="43">
        <f>SUM(U31:U40)</f>
        <v>3623383.6755357147</v>
      </c>
      <c r="V30" s="43">
        <f>SUM(V31:V40)</f>
        <v>31722592.924464285</v>
      </c>
      <c r="W30" s="43">
        <f t="shared" ref="W30:Z30" si="6">SUM(W31:W40)</f>
        <v>12749750.266291866</v>
      </c>
      <c r="X30" s="43">
        <f t="shared" si="6"/>
        <v>15048174.634024752</v>
      </c>
      <c r="Y30" s="43">
        <f t="shared" si="6"/>
        <v>3295853.8103339518</v>
      </c>
      <c r="Z30" s="43">
        <f t="shared" si="6"/>
        <v>628814.21381371445</v>
      </c>
    </row>
    <row r="31" spans="1:33" ht="48" customHeight="1" x14ac:dyDescent="0.25">
      <c r="A31" s="308" t="s">
        <v>179</v>
      </c>
      <c r="B31" s="309"/>
      <c r="C31" s="309"/>
      <c r="D31" s="309"/>
      <c r="E31" s="309"/>
      <c r="F31" s="309"/>
      <c r="G31" s="309"/>
      <c r="H31" s="309"/>
      <c r="I31" s="310"/>
      <c r="J31" s="43"/>
      <c r="K31" s="132"/>
      <c r="L31" s="135"/>
      <c r="M31" s="43"/>
      <c r="N31" s="43"/>
      <c r="O31" s="43"/>
      <c r="P31" s="132"/>
      <c r="Q31" s="135"/>
      <c r="R31" s="43"/>
      <c r="S31" s="132"/>
      <c r="T31" s="135"/>
      <c r="U31" s="3"/>
      <c r="V31" s="3"/>
      <c r="W31" s="3"/>
      <c r="X31" s="3"/>
      <c r="Y31" s="3"/>
      <c r="Z31" s="3"/>
    </row>
    <row r="32" spans="1:33" x14ac:dyDescent="0.25">
      <c r="A32" s="296" t="s">
        <v>171</v>
      </c>
      <c r="B32" s="297"/>
      <c r="C32" s="297"/>
      <c r="D32" s="297"/>
      <c r="E32" s="297"/>
      <c r="F32" s="297"/>
      <c r="G32" s="297"/>
      <c r="H32" s="297"/>
      <c r="I32" s="298"/>
      <c r="J32" s="43">
        <f>SUM(J33:J35)</f>
        <v>3045546.8</v>
      </c>
      <c r="K32" s="43">
        <f t="shared" ref="K32:X32" si="7">SUM(K33:K35)</f>
        <v>304554.68</v>
      </c>
      <c r="L32" s="43">
        <f t="shared" si="7"/>
        <v>2740992.12</v>
      </c>
      <c r="M32" s="43">
        <f t="shared" si="7"/>
        <v>1529929.1</v>
      </c>
      <c r="N32" s="43">
        <f t="shared" si="7"/>
        <v>2493597</v>
      </c>
      <c r="O32" s="43">
        <f t="shared" si="7"/>
        <v>1039822.2</v>
      </c>
      <c r="P32" s="43">
        <f t="shared" si="7"/>
        <v>324944.4375</v>
      </c>
      <c r="Q32" s="43">
        <f t="shared" si="7"/>
        <v>714877.76249999995</v>
      </c>
      <c r="R32" s="43">
        <f t="shared" si="7"/>
        <v>1206972.5</v>
      </c>
      <c r="S32" s="43">
        <f t="shared" si="7"/>
        <v>355625.82589285716</v>
      </c>
      <c r="T32" s="43">
        <f t="shared" si="7"/>
        <v>851346.67410714284</v>
      </c>
      <c r="U32" s="43">
        <f t="shared" si="7"/>
        <v>985124.94339285721</v>
      </c>
      <c r="V32" s="43">
        <f t="shared" si="7"/>
        <v>8330742.6566071436</v>
      </c>
      <c r="W32" s="43">
        <f t="shared" si="7"/>
        <v>3348241.0677272733</v>
      </c>
      <c r="X32" s="43">
        <f t="shared" si="7"/>
        <v>3951835.5459230058</v>
      </c>
      <c r="Y32" s="43">
        <f>SUM(Y33:Y35)</f>
        <v>865531.70458256034</v>
      </c>
      <c r="Z32" s="43">
        <f>SUM(Z33:Z35)</f>
        <v>165134.33837430427</v>
      </c>
    </row>
    <row r="33" spans="1:26" x14ac:dyDescent="0.25">
      <c r="A33" s="36" t="s">
        <v>172</v>
      </c>
      <c r="B33" s="37"/>
      <c r="C33" s="37"/>
      <c r="D33" s="37"/>
      <c r="E33" s="37"/>
      <c r="F33" s="37"/>
      <c r="G33" s="37"/>
      <c r="H33" s="37"/>
      <c r="I33" s="38"/>
      <c r="J33" s="43">
        <f>798262*90%</f>
        <v>718435.8</v>
      </c>
      <c r="K33" s="132">
        <f>J33/870*87</f>
        <v>71843.58</v>
      </c>
      <c r="L33" s="135">
        <f>J33/870*783</f>
        <v>646592.22</v>
      </c>
      <c r="M33" s="43">
        <f>412694*90%</f>
        <v>371424.60000000003</v>
      </c>
      <c r="N33" s="43">
        <f>1489855*90%</f>
        <v>1340869.5</v>
      </c>
      <c r="O33" s="43">
        <f>241573*90%</f>
        <v>217415.7</v>
      </c>
      <c r="P33" s="132">
        <f>O33/48*15</f>
        <v>67942.406250000015</v>
      </c>
      <c r="Q33" s="135">
        <f>O33/48*33</f>
        <v>149473.29375000001</v>
      </c>
      <c r="R33" s="43">
        <f>380760*90%</f>
        <v>342684</v>
      </c>
      <c r="S33" s="132">
        <f>R33/112*33</f>
        <v>100969.39285714286</v>
      </c>
      <c r="T33" s="135">
        <f>R33/112*79</f>
        <v>241714.60714285716</v>
      </c>
      <c r="U33" s="43">
        <f>K33+P33+S33</f>
        <v>240755.37910714286</v>
      </c>
      <c r="V33" s="43">
        <f>L33+M33+N33+Q33+T33</f>
        <v>2750074.2208928578</v>
      </c>
      <c r="W33" s="3">
        <f>V33/W46*W44</f>
        <v>1105292.9883014357</v>
      </c>
      <c r="X33" s="3">
        <f>V33/W46*X44</f>
        <v>1304546.4861925107</v>
      </c>
      <c r="Y33" s="3">
        <f>V33/W46*Y44</f>
        <v>285721.99697588134</v>
      </c>
      <c r="Z33" s="3">
        <f>V33/W46*Z44</f>
        <v>54512.749423029985</v>
      </c>
    </row>
    <row r="34" spans="1:26" x14ac:dyDescent="0.25">
      <c r="A34" s="296" t="s">
        <v>173</v>
      </c>
      <c r="B34" s="297"/>
      <c r="C34" s="297"/>
      <c r="D34" s="297"/>
      <c r="E34" s="297"/>
      <c r="F34" s="297"/>
      <c r="G34" s="297"/>
      <c r="H34" s="297"/>
      <c r="I34" s="298"/>
      <c r="J34" s="43">
        <f>3698572*50%</f>
        <v>1849286</v>
      </c>
      <c r="K34" s="132">
        <f>J34/870*87</f>
        <v>184928.6</v>
      </c>
      <c r="L34" s="135">
        <f>J34/870*783</f>
        <v>1664357.4</v>
      </c>
      <c r="M34" s="43">
        <f>1828659*50%</f>
        <v>914329.5</v>
      </c>
      <c r="N34" s="43">
        <f>1403113*50%</f>
        <v>701556.5</v>
      </c>
      <c r="O34" s="43">
        <f>1376643*50%</f>
        <v>688321.5</v>
      </c>
      <c r="P34" s="132">
        <f t="shared" ref="P34:P40" si="8">O34/48*15</f>
        <v>215100.46875</v>
      </c>
      <c r="Q34" s="135">
        <f t="shared" ref="Q34:Q40" si="9">O34/48*33</f>
        <v>473221.03125</v>
      </c>
      <c r="R34" s="43">
        <f>1192517*50%</f>
        <v>596258.5</v>
      </c>
      <c r="S34" s="132">
        <f t="shared" ref="S34:S40" si="10">R34/112*33</f>
        <v>175683.30803571429</v>
      </c>
      <c r="T34" s="135">
        <f t="shared" ref="T34:T40" si="11">R34/112*79</f>
        <v>420575.19196428568</v>
      </c>
      <c r="U34" s="43">
        <f>K34+P34+S34</f>
        <v>575712.3767857143</v>
      </c>
      <c r="V34" s="43">
        <f>L34+M34+N34+Q34+T34</f>
        <v>4174039.6232142858</v>
      </c>
      <c r="W34" s="3">
        <f>V34/W46*W44</f>
        <v>1677604.4418660288</v>
      </c>
      <c r="X34" s="3">
        <f>V34/W46*X44</f>
        <v>1980029.7324065035</v>
      </c>
      <c r="Y34" s="3">
        <f>V34/W46*Y44</f>
        <v>433666.45435992582</v>
      </c>
      <c r="Z34" s="3">
        <f>V34/W46*Z44</f>
        <v>82738.994581827952</v>
      </c>
    </row>
    <row r="35" spans="1:26" x14ac:dyDescent="0.25">
      <c r="A35" s="296" t="s">
        <v>174</v>
      </c>
      <c r="B35" s="297"/>
      <c r="C35" s="297"/>
      <c r="D35" s="297"/>
      <c r="E35" s="297"/>
      <c r="F35" s="297"/>
      <c r="G35" s="297"/>
      <c r="H35" s="297"/>
      <c r="I35" s="298"/>
      <c r="J35" s="43">
        <f>194595+283230</f>
        <v>477825</v>
      </c>
      <c r="K35" s="132">
        <f>J35/870*87</f>
        <v>47782.500000000007</v>
      </c>
      <c r="L35" s="135">
        <f>J35/870*783</f>
        <v>430042.50000000006</v>
      </c>
      <c r="M35" s="43">
        <f>99441+144734</f>
        <v>244175</v>
      </c>
      <c r="N35" s="43">
        <f>183953+267218</f>
        <v>451171</v>
      </c>
      <c r="O35" s="43">
        <v>134085</v>
      </c>
      <c r="P35" s="132">
        <f t="shared" si="8"/>
        <v>41901.5625</v>
      </c>
      <c r="Q35" s="135">
        <f t="shared" si="9"/>
        <v>92183.4375</v>
      </c>
      <c r="R35" s="43">
        <f>109156+158874</f>
        <v>268030</v>
      </c>
      <c r="S35" s="132">
        <f t="shared" si="10"/>
        <v>78973.125</v>
      </c>
      <c r="T35" s="135">
        <f t="shared" si="11"/>
        <v>189056.875</v>
      </c>
      <c r="U35" s="43">
        <f>K35+P35+S35</f>
        <v>168657.1875</v>
      </c>
      <c r="V35" s="43">
        <f>L35+M35+N35+Q35+T35</f>
        <v>1406628.8125</v>
      </c>
      <c r="W35" s="3">
        <f>V35/W46*W44</f>
        <v>565343.63755980867</v>
      </c>
      <c r="X35" s="3">
        <f>V35/W46*X44</f>
        <v>667259.32732399181</v>
      </c>
      <c r="Y35" s="3">
        <f>V35/W46*Y44</f>
        <v>146143.25324675324</v>
      </c>
      <c r="Z35" s="3">
        <f>V35/W46*Z44</f>
        <v>27882.594369446342</v>
      </c>
    </row>
    <row r="36" spans="1:26" x14ac:dyDescent="0.25">
      <c r="A36" s="296" t="s">
        <v>180</v>
      </c>
      <c r="B36" s="297"/>
      <c r="C36" s="297"/>
      <c r="D36" s="297"/>
      <c r="E36" s="297"/>
      <c r="F36" s="297"/>
      <c r="G36" s="297"/>
      <c r="H36" s="297"/>
      <c r="I36" s="298"/>
      <c r="J36" s="43"/>
      <c r="K36" s="132"/>
      <c r="L36" s="135"/>
      <c r="M36" s="43"/>
      <c r="N36" s="43"/>
      <c r="O36" s="43"/>
      <c r="P36" s="132">
        <f t="shared" si="8"/>
        <v>0</v>
      </c>
      <c r="Q36" s="135">
        <f t="shared" si="9"/>
        <v>0</v>
      </c>
      <c r="R36" s="43"/>
      <c r="S36" s="132">
        <f t="shared" si="10"/>
        <v>0</v>
      </c>
      <c r="T36" s="135">
        <f t="shared" si="11"/>
        <v>0</v>
      </c>
      <c r="U36" s="43">
        <f t="shared" ref="U36:U40" si="12">K36+P36+S36</f>
        <v>0</v>
      </c>
      <c r="V36" s="43">
        <f t="shared" ref="V36:V40" si="13">L36+M36+N36+Q36+T36</f>
        <v>0</v>
      </c>
      <c r="W36" s="3"/>
      <c r="X36" s="3"/>
      <c r="Y36" s="3"/>
      <c r="Z36" s="3"/>
    </row>
    <row r="37" spans="1:26" ht="15.75" customHeight="1" x14ac:dyDescent="0.25">
      <c r="A37" s="296" t="s">
        <v>181</v>
      </c>
      <c r="B37" s="297"/>
      <c r="C37" s="297"/>
      <c r="D37" s="297"/>
      <c r="E37" s="297"/>
      <c r="F37" s="297"/>
      <c r="G37" s="297"/>
      <c r="H37" s="297"/>
      <c r="I37" s="298"/>
      <c r="J37" s="43"/>
      <c r="K37" s="132"/>
      <c r="L37" s="135"/>
      <c r="M37" s="43"/>
      <c r="N37" s="43"/>
      <c r="O37" s="43"/>
      <c r="P37" s="132">
        <f t="shared" si="8"/>
        <v>0</v>
      </c>
      <c r="Q37" s="135">
        <f t="shared" si="9"/>
        <v>0</v>
      </c>
      <c r="R37" s="43"/>
      <c r="S37" s="132">
        <f t="shared" si="10"/>
        <v>0</v>
      </c>
      <c r="T37" s="135">
        <f t="shared" si="11"/>
        <v>0</v>
      </c>
      <c r="U37" s="43">
        <f t="shared" si="12"/>
        <v>0</v>
      </c>
      <c r="V37" s="43">
        <f t="shared" si="13"/>
        <v>0</v>
      </c>
      <c r="W37" s="3"/>
      <c r="X37" s="3"/>
      <c r="Y37" s="3"/>
      <c r="Z37" s="3"/>
    </row>
    <row r="38" spans="1:26" ht="15" customHeight="1" x14ac:dyDescent="0.25">
      <c r="A38" s="299" t="s">
        <v>182</v>
      </c>
      <c r="B38" s="300"/>
      <c r="C38" s="300"/>
      <c r="D38" s="300"/>
      <c r="E38" s="300"/>
      <c r="F38" s="300"/>
      <c r="G38" s="300"/>
      <c r="H38" s="300"/>
      <c r="I38" s="301"/>
      <c r="J38" s="43"/>
      <c r="K38" s="132"/>
      <c r="L38" s="135"/>
      <c r="M38" s="43"/>
      <c r="N38" s="43"/>
      <c r="O38" s="43"/>
      <c r="P38" s="132">
        <f t="shared" si="8"/>
        <v>0</v>
      </c>
      <c r="Q38" s="135">
        <f t="shared" si="9"/>
        <v>0</v>
      </c>
      <c r="R38" s="43"/>
      <c r="S38" s="132">
        <f t="shared" si="10"/>
        <v>0</v>
      </c>
      <c r="T38" s="135">
        <f t="shared" si="11"/>
        <v>0</v>
      </c>
      <c r="U38" s="43">
        <f t="shared" si="12"/>
        <v>0</v>
      </c>
      <c r="V38" s="43">
        <f t="shared" si="13"/>
        <v>0</v>
      </c>
      <c r="W38" s="3"/>
      <c r="X38" s="3"/>
      <c r="Y38" s="3"/>
      <c r="Z38" s="3"/>
    </row>
    <row r="39" spans="1:26" x14ac:dyDescent="0.25">
      <c r="A39" s="302"/>
      <c r="B39" s="303"/>
      <c r="C39" s="303"/>
      <c r="D39" s="303"/>
      <c r="E39" s="303"/>
      <c r="F39" s="303"/>
      <c r="G39" s="303"/>
      <c r="H39" s="303"/>
      <c r="I39" s="304"/>
      <c r="J39" s="43">
        <f>(J19-J33-J34-J35)+J9+J18-1500000+J11-19200</f>
        <v>4133753.2</v>
      </c>
      <c r="K39" s="132">
        <f>J39/870*87</f>
        <v>413375.32</v>
      </c>
      <c r="L39" s="135">
        <f>J39/870*783</f>
        <v>3720377.88</v>
      </c>
      <c r="M39" s="43">
        <f>R9+R18+R19-M33-M34-M35+R11-470220-11400</f>
        <v>2129643.9</v>
      </c>
      <c r="N39" s="43">
        <f>X9+X11+X18+X19-N33-N34-N35-6200-393611</f>
        <v>4401182</v>
      </c>
      <c r="O39" s="43">
        <f>AB9+AB11+AB18+AB19-O33-O34-O35-O40</f>
        <v>414453.80000000005</v>
      </c>
      <c r="P39" s="132">
        <f t="shared" si="8"/>
        <v>129516.81250000003</v>
      </c>
      <c r="Q39" s="135">
        <f t="shared" si="9"/>
        <v>284936.98750000005</v>
      </c>
      <c r="R39" s="43">
        <f>AF9+AF11+AF18+AF19-R33-R34-R35-6500-40884</f>
        <v>2891709.5</v>
      </c>
      <c r="S39" s="132">
        <f t="shared" si="10"/>
        <v>852021.54910714284</v>
      </c>
      <c r="T39" s="135">
        <f t="shared" si="11"/>
        <v>2039687.9508928573</v>
      </c>
      <c r="U39" s="43">
        <f t="shared" si="12"/>
        <v>1394913.681607143</v>
      </c>
      <c r="V39" s="43">
        <f t="shared" si="13"/>
        <v>12575828.718392856</v>
      </c>
      <c r="W39" s="3">
        <f>V39/W46*W44</f>
        <v>5054400.0590669848</v>
      </c>
      <c r="X39" s="3">
        <f>V39/W46*X44</f>
        <v>5965567.4166538902</v>
      </c>
      <c r="Y39" s="3">
        <f>V39/W46*Y44</f>
        <v>1306579.6071057513</v>
      </c>
      <c r="Z39" s="3">
        <f>V39/W46*Z44</f>
        <v>249281.63556622886</v>
      </c>
    </row>
    <row r="40" spans="1:26" x14ac:dyDescent="0.25">
      <c r="A40" s="296" t="s">
        <v>175</v>
      </c>
      <c r="B40" s="297"/>
      <c r="C40" s="297"/>
      <c r="D40" s="297"/>
      <c r="E40" s="297"/>
      <c r="F40" s="297"/>
      <c r="G40" s="297"/>
      <c r="H40" s="297"/>
      <c r="I40" s="298"/>
      <c r="J40" s="43">
        <f>1500000+19200</f>
        <v>1519200</v>
      </c>
      <c r="K40" s="132">
        <f>J40/870*87</f>
        <v>151920</v>
      </c>
      <c r="L40" s="135">
        <f>J40/870*783</f>
        <v>1367280</v>
      </c>
      <c r="M40" s="43">
        <f>470220+11400</f>
        <v>481620</v>
      </c>
      <c r="N40" s="43">
        <f>6200+63773+329838</f>
        <v>399811</v>
      </c>
      <c r="O40" s="43">
        <f>188884+106600</f>
        <v>295484</v>
      </c>
      <c r="P40" s="132">
        <f t="shared" si="8"/>
        <v>92338.75</v>
      </c>
      <c r="Q40" s="135">
        <f t="shared" si="9"/>
        <v>203145.25</v>
      </c>
      <c r="R40" s="43">
        <f>6500+40884</f>
        <v>47384</v>
      </c>
      <c r="S40" s="132">
        <f t="shared" si="10"/>
        <v>13961.357142857143</v>
      </c>
      <c r="T40" s="135">
        <f t="shared" si="11"/>
        <v>33422.642857142855</v>
      </c>
      <c r="U40" s="43">
        <f t="shared" si="12"/>
        <v>258220.10714285713</v>
      </c>
      <c r="V40" s="43">
        <f t="shared" si="13"/>
        <v>2485278.8928571427</v>
      </c>
      <c r="W40" s="3">
        <f>V40/W46*W44</f>
        <v>998868.07177033497</v>
      </c>
      <c r="X40" s="3">
        <f>V40/W46*X44</f>
        <v>1178936.125524851</v>
      </c>
      <c r="Y40" s="43">
        <f>V40/W46*Y44</f>
        <v>258210.79406307978</v>
      </c>
      <c r="Z40" s="3">
        <f>V40/W46*Z44</f>
        <v>49263.901498877065</v>
      </c>
    </row>
    <row r="41" spans="1:26" x14ac:dyDescent="0.25">
      <c r="A41" s="296" t="s">
        <v>183</v>
      </c>
      <c r="B41" s="297"/>
      <c r="C41" s="297"/>
      <c r="D41" s="297"/>
      <c r="E41" s="297"/>
      <c r="F41" s="297"/>
      <c r="G41" s="297"/>
      <c r="H41" s="297"/>
      <c r="I41" s="298"/>
      <c r="J41" s="43">
        <f>J26+J30</f>
        <v>19393984.800000001</v>
      </c>
      <c r="K41" s="132">
        <f t="shared" ref="K41:L41" si="14">K26+K30</f>
        <v>1939398.48</v>
      </c>
      <c r="L41" s="135">
        <f t="shared" si="14"/>
        <v>17454586.32</v>
      </c>
      <c r="M41" s="43">
        <f>M26+M30</f>
        <v>8337669.0999999996</v>
      </c>
      <c r="N41" s="43">
        <f>N26+N30</f>
        <v>12722364</v>
      </c>
      <c r="O41" s="43">
        <f>O26+O30</f>
        <v>3373966.2</v>
      </c>
      <c r="P41" s="132">
        <f>P26+P30</f>
        <v>1054364.4375</v>
      </c>
      <c r="Q41" s="135">
        <f t="shared" ref="Q41" si="15">Q26+Q30</f>
        <v>2319601.7625000002</v>
      </c>
      <c r="R41" s="43">
        <f>R26+R30</f>
        <v>6620678.5</v>
      </c>
      <c r="S41" s="132">
        <f t="shared" ref="S41:T41" si="16">S26+S30</f>
        <v>1950735.6294642857</v>
      </c>
      <c r="T41" s="135">
        <f t="shared" si="16"/>
        <v>4669942.8705357136</v>
      </c>
      <c r="U41" s="135">
        <f>U26+U30</f>
        <v>4944498.5469642859</v>
      </c>
      <c r="V41" s="135">
        <f>V26+V30</f>
        <v>45504164.053035714</v>
      </c>
      <c r="W41" s="135">
        <f t="shared" ref="W41:Z41" si="17">W26+W30</f>
        <v>18288754.930406697</v>
      </c>
      <c r="X41" s="135">
        <f t="shared" si="17"/>
        <v>21585707.349833757</v>
      </c>
      <c r="Y41" s="135">
        <f t="shared" si="17"/>
        <v>4727705.3561595548</v>
      </c>
      <c r="Z41" s="135">
        <f t="shared" si="17"/>
        <v>901996.41663570446</v>
      </c>
    </row>
    <row r="42" spans="1:26" x14ac:dyDescent="0.25">
      <c r="A42" s="296" t="s">
        <v>184</v>
      </c>
      <c r="B42" s="297"/>
      <c r="C42" s="297"/>
      <c r="D42" s="297"/>
      <c r="E42" s="297"/>
      <c r="F42" s="297"/>
      <c r="G42" s="297"/>
      <c r="H42" s="297"/>
      <c r="I42" s="298"/>
      <c r="J42" s="43">
        <f>J41/G7</f>
        <v>22291.936551724139</v>
      </c>
      <c r="K42" s="132">
        <f>K41/87</f>
        <v>22291.936551724139</v>
      </c>
      <c r="L42" s="135">
        <f>L41/783</f>
        <v>22291.936551724139</v>
      </c>
      <c r="M42" s="43">
        <f>M41/M7</f>
        <v>28359.418707482993</v>
      </c>
      <c r="N42" s="43">
        <f>N41/U7</f>
        <v>45275.31672597865</v>
      </c>
      <c r="O42" s="43">
        <f>O41/Y7</f>
        <v>70290.962500000009</v>
      </c>
      <c r="P42" s="132">
        <f>P41/15</f>
        <v>70290.962499999994</v>
      </c>
      <c r="Q42" s="135">
        <f>Q41/33</f>
        <v>70290.962500000009</v>
      </c>
      <c r="R42" s="43">
        <f>R41/AC7</f>
        <v>58076.127192982458</v>
      </c>
      <c r="S42" s="132">
        <f>S41/33</f>
        <v>59113.200892857145</v>
      </c>
      <c r="T42" s="135">
        <f>T41/79</f>
        <v>59113.200892857138</v>
      </c>
      <c r="U42" s="3">
        <f>U41/135</f>
        <v>36625.915162698417</v>
      </c>
      <c r="V42" s="3">
        <f>V41/V43</f>
        <v>30766.845201511638</v>
      </c>
      <c r="W42" s="3">
        <f>W41/W44</f>
        <v>31103.324711576017</v>
      </c>
      <c r="X42" s="3">
        <f>X41/X44</f>
        <v>31103.324711576017</v>
      </c>
      <c r="Y42" s="3">
        <f>Y41/Y44</f>
        <v>31103.324711576017</v>
      </c>
      <c r="Z42" s="3">
        <f>Z41/Z44</f>
        <v>31103.324711576017</v>
      </c>
    </row>
    <row r="43" spans="1:26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1"/>
      <c r="K43" s="31">
        <v>87</v>
      </c>
      <c r="L43" s="31">
        <v>783</v>
      </c>
      <c r="M43" s="31">
        <v>288</v>
      </c>
      <c r="N43" s="31">
        <v>281</v>
      </c>
      <c r="O43" s="31"/>
      <c r="P43" s="31">
        <v>15</v>
      </c>
      <c r="Q43" s="31">
        <v>48</v>
      </c>
      <c r="R43" s="31"/>
      <c r="S43" s="31">
        <v>33</v>
      </c>
      <c r="T43" s="31">
        <v>79</v>
      </c>
      <c r="U43" s="31">
        <f>K43+P43+S43</f>
        <v>135</v>
      </c>
      <c r="V43" s="31">
        <f>L43+M43+N43+Q43+T43</f>
        <v>1479</v>
      </c>
    </row>
    <row r="44" spans="1:26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>
        <v>588</v>
      </c>
      <c r="X44">
        <v>694</v>
      </c>
      <c r="Y44">
        <v>152</v>
      </c>
      <c r="Z44">
        <v>29</v>
      </c>
    </row>
    <row r="45" spans="1:26" x14ac:dyDescent="0.25">
      <c r="A45" s="32"/>
      <c r="B45" s="388" t="s">
        <v>246</v>
      </c>
      <c r="C45" s="388"/>
      <c r="D45" s="69">
        <f>317+121+105+28+17</f>
        <v>588</v>
      </c>
      <c r="E45" s="69"/>
    </row>
    <row r="46" spans="1:26" x14ac:dyDescent="0.25">
      <c r="A46" s="32"/>
      <c r="B46" s="389" t="s">
        <v>247</v>
      </c>
      <c r="C46" s="389"/>
      <c r="D46" s="69">
        <v>694</v>
      </c>
      <c r="E46" s="69"/>
      <c r="W46">
        <v>1463</v>
      </c>
    </row>
    <row r="47" spans="1:26" x14ac:dyDescent="0.25">
      <c r="A47" s="32"/>
      <c r="B47" s="389" t="s">
        <v>248</v>
      </c>
      <c r="C47" s="389"/>
      <c r="D47" s="69"/>
      <c r="E47" s="69"/>
    </row>
    <row r="48" spans="1:26" x14ac:dyDescent="0.25">
      <c r="A48" s="32"/>
      <c r="B48" s="389" t="s">
        <v>249</v>
      </c>
      <c r="C48" s="389"/>
      <c r="D48" s="69">
        <f>65+25+46+15+1</f>
        <v>152</v>
      </c>
      <c r="E48" s="69"/>
    </row>
    <row r="49" spans="1:28" x14ac:dyDescent="0.25">
      <c r="A49" s="32"/>
      <c r="B49" s="278" t="s">
        <v>250</v>
      </c>
      <c r="C49" s="280"/>
      <c r="D49" s="69"/>
      <c r="E49" s="69"/>
    </row>
    <row r="50" spans="1:28" x14ac:dyDescent="0.25">
      <c r="A50" s="32"/>
      <c r="B50" s="389" t="s">
        <v>251</v>
      </c>
      <c r="C50" s="389"/>
      <c r="D50" s="69">
        <v>29</v>
      </c>
      <c r="E50" s="69"/>
    </row>
    <row r="51" spans="1:28" x14ac:dyDescent="0.25">
      <c r="A51" s="32"/>
      <c r="B51" s="32"/>
      <c r="C51" s="32"/>
      <c r="D51" s="32">
        <f>SUM(D45:D50)</f>
        <v>1463</v>
      </c>
      <c r="E51" s="32"/>
      <c r="U51" s="31"/>
      <c r="V51" s="31"/>
    </row>
    <row r="52" spans="1:28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</row>
    <row r="53" spans="1:28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</row>
    <row r="54" spans="1:28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</row>
    <row r="55" spans="1:28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</row>
    <row r="56" spans="1:28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</row>
    <row r="57" spans="1:28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</row>
    <row r="58" spans="1:28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</row>
    <row r="59" spans="1:28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</row>
    <row r="60" spans="1:28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</row>
    <row r="61" spans="1:28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Y61" s="1" t="s">
        <v>235</v>
      </c>
      <c r="Z61" s="1"/>
      <c r="AA61" s="1"/>
      <c r="AB61" s="1"/>
    </row>
    <row r="62" spans="1:28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Y62" s="1" t="s">
        <v>239</v>
      </c>
      <c r="Z62" s="1"/>
      <c r="AA62" s="1"/>
      <c r="AB62" s="1"/>
    </row>
    <row r="63" spans="1:28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Y63" s="1" t="s">
        <v>233</v>
      </c>
      <c r="Z63" s="1"/>
      <c r="AA63" s="1"/>
      <c r="AB63" s="1"/>
    </row>
    <row r="64" spans="1:28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Y64" s="1" t="s">
        <v>241</v>
      </c>
      <c r="Z64" s="1"/>
      <c r="AA64" s="1"/>
      <c r="AB64" s="1"/>
    </row>
    <row r="65" spans="1:34" x14ac:dyDescent="0.25">
      <c r="A65" s="67"/>
      <c r="B65" s="67"/>
      <c r="C65" s="67"/>
      <c r="D65" s="67"/>
      <c r="E65" s="67"/>
      <c r="F65" s="67"/>
      <c r="G65" s="67"/>
      <c r="H65" s="67"/>
      <c r="I65" s="67"/>
      <c r="J65" s="67" t="s">
        <v>217</v>
      </c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9"/>
    </row>
    <row r="66" spans="1:34" ht="26.25" customHeight="1" x14ac:dyDescent="0.25">
      <c r="A66" s="324" t="s">
        <v>4</v>
      </c>
      <c r="B66" s="326" t="s">
        <v>71</v>
      </c>
      <c r="C66" s="327"/>
      <c r="D66" s="328"/>
      <c r="E66" s="290" t="s">
        <v>2</v>
      </c>
      <c r="F66" s="276" t="s">
        <v>82</v>
      </c>
      <c r="G66" s="284" t="s">
        <v>74</v>
      </c>
      <c r="H66" s="285"/>
      <c r="I66" s="285"/>
      <c r="J66" s="286"/>
      <c r="K66" s="123"/>
      <c r="L66" s="123"/>
      <c r="M66" s="284" t="s">
        <v>75</v>
      </c>
      <c r="N66" s="285"/>
      <c r="O66" s="285"/>
      <c r="P66" s="285"/>
      <c r="Q66" s="285"/>
      <c r="R66" s="286"/>
      <c r="S66" s="123"/>
      <c r="T66" s="123"/>
      <c r="U66" s="284" t="s">
        <v>76</v>
      </c>
      <c r="V66" s="285"/>
      <c r="W66" s="285"/>
      <c r="X66" s="286"/>
      <c r="Y66" s="284" t="s">
        <v>77</v>
      </c>
      <c r="Z66" s="285"/>
      <c r="AA66" s="285"/>
      <c r="AB66" s="286"/>
      <c r="AC66" s="284" t="s">
        <v>78</v>
      </c>
      <c r="AD66" s="285"/>
      <c r="AE66" s="285"/>
      <c r="AF66" s="286"/>
      <c r="AG66" s="281" t="s">
        <v>103</v>
      </c>
      <c r="AH66" s="9"/>
    </row>
    <row r="67" spans="1:34" ht="51" x14ac:dyDescent="0.25">
      <c r="A67" s="325"/>
      <c r="B67" s="329"/>
      <c r="C67" s="330"/>
      <c r="D67" s="331"/>
      <c r="E67" s="291"/>
      <c r="F67" s="277"/>
      <c r="G67" s="47" t="s">
        <v>29</v>
      </c>
      <c r="H67" s="47" t="s">
        <v>13</v>
      </c>
      <c r="I67" s="47" t="s">
        <v>14</v>
      </c>
      <c r="J67" s="47" t="s">
        <v>25</v>
      </c>
      <c r="K67" s="47"/>
      <c r="L67" s="47"/>
      <c r="M67" s="47" t="s">
        <v>12</v>
      </c>
      <c r="N67" s="47" t="s">
        <v>13</v>
      </c>
      <c r="O67" s="47" t="s">
        <v>14</v>
      </c>
      <c r="P67" s="47"/>
      <c r="Q67" s="47"/>
      <c r="R67" s="47" t="s">
        <v>25</v>
      </c>
      <c r="S67" s="47"/>
      <c r="T67" s="47"/>
      <c r="U67" s="47" t="s">
        <v>12</v>
      </c>
      <c r="V67" s="47" t="s">
        <v>13</v>
      </c>
      <c r="W67" s="47" t="s">
        <v>3</v>
      </c>
      <c r="X67" s="47" t="s">
        <v>25</v>
      </c>
      <c r="Y67" s="47" t="s">
        <v>12</v>
      </c>
      <c r="Z67" s="47" t="s">
        <v>13</v>
      </c>
      <c r="AA67" s="47" t="s">
        <v>23</v>
      </c>
      <c r="AB67" s="48" t="s">
        <v>25</v>
      </c>
      <c r="AC67" s="47" t="s">
        <v>12</v>
      </c>
      <c r="AD67" s="47" t="s">
        <v>13</v>
      </c>
      <c r="AE67" s="47" t="s">
        <v>23</v>
      </c>
      <c r="AF67" s="47" t="s">
        <v>25</v>
      </c>
      <c r="AG67" s="281"/>
      <c r="AH67" s="13"/>
    </row>
    <row r="68" spans="1:34" x14ac:dyDescent="0.25">
      <c r="A68" s="56" t="s">
        <v>8</v>
      </c>
      <c r="B68" s="278" t="s">
        <v>72</v>
      </c>
      <c r="C68" s="279"/>
      <c r="D68" s="280"/>
      <c r="E68" s="68" t="s">
        <v>73</v>
      </c>
      <c r="F68" s="69">
        <v>2600</v>
      </c>
      <c r="G68" s="69">
        <v>236</v>
      </c>
      <c r="H68" s="69">
        <f>F68*G68</f>
        <v>613600</v>
      </c>
      <c r="I68" s="69">
        <v>-4</v>
      </c>
      <c r="J68" s="69">
        <f>609988-20000</f>
        <v>589988</v>
      </c>
      <c r="K68" s="69"/>
      <c r="L68" s="69"/>
      <c r="M68" s="69">
        <v>53</v>
      </c>
      <c r="N68" s="69">
        <f>F68*M68</f>
        <v>137800</v>
      </c>
      <c r="O68" s="69">
        <v>60</v>
      </c>
      <c r="P68" s="69"/>
      <c r="Q68" s="69"/>
      <c r="R68" s="69">
        <f>250270-20000</f>
        <v>230270</v>
      </c>
      <c r="S68" s="69"/>
      <c r="T68" s="69"/>
      <c r="U68" s="69">
        <v>89</v>
      </c>
      <c r="V68" s="69">
        <f>F68*U68</f>
        <v>231400</v>
      </c>
      <c r="W68" s="69">
        <v>70</v>
      </c>
      <c r="X68" s="70">
        <f>422920-30000</f>
        <v>392920</v>
      </c>
      <c r="Y68" s="69">
        <v>133</v>
      </c>
      <c r="Z68" s="69">
        <f>Y68*F68</f>
        <v>345800</v>
      </c>
      <c r="AA68" s="69">
        <v>10</v>
      </c>
      <c r="AB68" s="71">
        <f>466184-50000</f>
        <v>416184</v>
      </c>
      <c r="AC68" s="69">
        <v>81</v>
      </c>
      <c r="AD68" s="69">
        <f>F68*AC68</f>
        <v>210600</v>
      </c>
      <c r="AE68" s="69">
        <v>55</v>
      </c>
      <c r="AF68" s="71">
        <f>369651-30000</f>
        <v>339651</v>
      </c>
      <c r="AG68" s="71">
        <f>J68+R68+X68+AB68+AF68</f>
        <v>1969013</v>
      </c>
      <c r="AH68" s="9"/>
    </row>
    <row r="69" spans="1:34" x14ac:dyDescent="0.25">
      <c r="A69" s="56" t="s">
        <v>17</v>
      </c>
      <c r="B69" s="278" t="s">
        <v>79</v>
      </c>
      <c r="C69" s="279"/>
      <c r="D69" s="280"/>
      <c r="E69" s="69"/>
      <c r="F69" s="69"/>
      <c r="G69" s="69"/>
      <c r="H69" s="69"/>
      <c r="I69" s="69"/>
      <c r="J69" s="69">
        <v>20000</v>
      </c>
      <c r="K69" s="69"/>
      <c r="L69" s="69"/>
      <c r="M69" s="69"/>
      <c r="N69" s="69"/>
      <c r="O69" s="69"/>
      <c r="P69" s="69"/>
      <c r="Q69" s="69"/>
      <c r="R69" s="69">
        <v>20000</v>
      </c>
      <c r="S69" s="69"/>
      <c r="T69" s="69"/>
      <c r="U69" s="69"/>
      <c r="V69" s="69"/>
      <c r="W69" s="69"/>
      <c r="X69" s="70">
        <v>30000</v>
      </c>
      <c r="Y69" s="69"/>
      <c r="Z69" s="69"/>
      <c r="AA69" s="69"/>
      <c r="AB69" s="71">
        <v>50000</v>
      </c>
      <c r="AC69" s="69"/>
      <c r="AD69" s="69"/>
      <c r="AE69" s="69"/>
      <c r="AF69" s="71">
        <v>30000</v>
      </c>
      <c r="AG69" s="71">
        <f t="shared" ref="AG69:AG80" si="18">J69+R69+X69+AB69+AF69</f>
        <v>150000</v>
      </c>
      <c r="AH69" s="9"/>
    </row>
    <row r="70" spans="1:34" x14ac:dyDescent="0.25">
      <c r="A70" s="56" t="s">
        <v>20</v>
      </c>
      <c r="B70" s="314" t="s">
        <v>80</v>
      </c>
      <c r="C70" s="315"/>
      <c r="D70" s="316"/>
      <c r="E70" s="68" t="s">
        <v>73</v>
      </c>
      <c r="F70" s="69">
        <v>3500</v>
      </c>
      <c r="G70" s="69"/>
      <c r="H70" s="69">
        <f>F70*G70</f>
        <v>0</v>
      </c>
      <c r="I70" s="282">
        <v>10</v>
      </c>
      <c r="J70" s="282">
        <v>916994</v>
      </c>
      <c r="K70" s="57"/>
      <c r="L70" s="57"/>
      <c r="M70" s="69"/>
      <c r="N70" s="69">
        <f>F70*M70</f>
        <v>0</v>
      </c>
      <c r="O70" s="282">
        <v>70</v>
      </c>
      <c r="P70" s="57"/>
      <c r="Q70" s="57"/>
      <c r="R70" s="282">
        <v>322357</v>
      </c>
      <c r="S70" s="57"/>
      <c r="T70" s="57"/>
      <c r="U70" s="69"/>
      <c r="V70" s="69"/>
      <c r="W70" s="282">
        <v>35</v>
      </c>
      <c r="X70" s="343">
        <v>423252</v>
      </c>
      <c r="Y70" s="69"/>
      <c r="Z70" s="69"/>
      <c r="AA70" s="282">
        <v>90</v>
      </c>
      <c r="AB70" s="343">
        <v>969963</v>
      </c>
      <c r="AC70" s="69">
        <v>81</v>
      </c>
      <c r="AD70" s="69">
        <f>13.91*85*86</f>
        <v>101682.09999999999</v>
      </c>
      <c r="AE70" s="282">
        <v>72</v>
      </c>
      <c r="AF70" s="343">
        <v>286350</v>
      </c>
      <c r="AG70" s="71">
        <f t="shared" si="18"/>
        <v>2918916</v>
      </c>
      <c r="AH70" s="9"/>
    </row>
    <row r="71" spans="1:34" x14ac:dyDescent="0.25">
      <c r="A71" s="56" t="s">
        <v>27</v>
      </c>
      <c r="B71" s="314" t="s">
        <v>81</v>
      </c>
      <c r="C71" s="315"/>
      <c r="D71" s="316"/>
      <c r="E71" s="68" t="s">
        <v>73</v>
      </c>
      <c r="F71" s="69"/>
      <c r="G71" s="69"/>
      <c r="H71" s="69">
        <f>250*237*13.91</f>
        <v>824167.5</v>
      </c>
      <c r="I71" s="283"/>
      <c r="J71" s="283"/>
      <c r="K71" s="122"/>
      <c r="L71" s="122"/>
      <c r="M71" s="69"/>
      <c r="N71" s="69">
        <f>F70*M68</f>
        <v>185500</v>
      </c>
      <c r="O71" s="283"/>
      <c r="P71" s="122"/>
      <c r="Q71" s="122"/>
      <c r="R71" s="283"/>
      <c r="S71" s="122"/>
      <c r="T71" s="122"/>
      <c r="U71" s="69"/>
      <c r="V71" s="69">
        <f>F70*U68</f>
        <v>311500</v>
      </c>
      <c r="W71" s="283"/>
      <c r="X71" s="344"/>
      <c r="Y71" s="69"/>
      <c r="Z71" s="69">
        <f>F70*Y68</f>
        <v>465500</v>
      </c>
      <c r="AA71" s="283"/>
      <c r="AB71" s="344"/>
      <c r="AC71" s="69"/>
      <c r="AD71" s="69">
        <f>250*13.91*86</f>
        <v>299065</v>
      </c>
      <c r="AE71" s="283"/>
      <c r="AF71" s="344"/>
      <c r="AG71" s="71">
        <f t="shared" si="18"/>
        <v>0</v>
      </c>
      <c r="AH71" s="9"/>
    </row>
    <row r="72" spans="1:34" x14ac:dyDescent="0.25">
      <c r="A72" s="56" t="s">
        <v>83</v>
      </c>
      <c r="B72" s="314" t="s">
        <v>84</v>
      </c>
      <c r="C72" s="315"/>
      <c r="D72" s="316"/>
      <c r="E72" s="73" t="s">
        <v>73</v>
      </c>
      <c r="F72" s="69">
        <v>2500</v>
      </c>
      <c r="G72" s="69"/>
      <c r="H72" s="69">
        <f>237*F72</f>
        <v>592500</v>
      </c>
      <c r="I72" s="69">
        <v>8</v>
      </c>
      <c r="J72" s="69">
        <v>643587</v>
      </c>
      <c r="K72" s="69"/>
      <c r="L72" s="69"/>
      <c r="M72" s="69"/>
      <c r="N72" s="69">
        <f>F72*M68</f>
        <v>132500</v>
      </c>
      <c r="O72" s="69"/>
      <c r="P72" s="69"/>
      <c r="Q72" s="69"/>
      <c r="R72" s="69">
        <v>370043</v>
      </c>
      <c r="S72" s="69"/>
      <c r="T72" s="69"/>
      <c r="U72" s="69"/>
      <c r="V72" s="69"/>
      <c r="W72" s="69"/>
      <c r="X72" s="71">
        <v>536452</v>
      </c>
      <c r="Y72" s="69"/>
      <c r="Z72" s="69">
        <f>F72*Y68</f>
        <v>332500</v>
      </c>
      <c r="AA72" s="69">
        <v>50</v>
      </c>
      <c r="AB72" s="71">
        <v>498913</v>
      </c>
      <c r="AC72" s="69">
        <v>81</v>
      </c>
      <c r="AD72" s="69">
        <f>AC72*F72</f>
        <v>202500</v>
      </c>
      <c r="AE72" s="69">
        <v>30</v>
      </c>
      <c r="AF72" s="71">
        <v>422034</v>
      </c>
      <c r="AG72" s="71">
        <f t="shared" si="18"/>
        <v>2471029</v>
      </c>
      <c r="AH72" s="9"/>
    </row>
    <row r="73" spans="1:34" x14ac:dyDescent="0.25">
      <c r="A73" s="56" t="s">
        <v>85</v>
      </c>
      <c r="B73" s="314" t="s">
        <v>86</v>
      </c>
      <c r="C73" s="315"/>
      <c r="D73" s="316"/>
      <c r="E73" s="73" t="s">
        <v>73</v>
      </c>
      <c r="F73" s="69">
        <v>1000</v>
      </c>
      <c r="G73" s="69"/>
      <c r="H73" s="69">
        <f>G73*F73</f>
        <v>0</v>
      </c>
      <c r="I73" s="69">
        <v>30</v>
      </c>
      <c r="J73" s="74">
        <v>352060</v>
      </c>
      <c r="K73" s="74"/>
      <c r="L73" s="74"/>
      <c r="M73" s="69"/>
      <c r="N73" s="69">
        <f>M73*F73</f>
        <v>0</v>
      </c>
      <c r="O73" s="69"/>
      <c r="P73" s="69"/>
      <c r="Q73" s="69"/>
      <c r="R73" s="74">
        <v>187940</v>
      </c>
      <c r="S73" s="74"/>
      <c r="T73" s="74"/>
      <c r="U73" s="69"/>
      <c r="V73" s="69">
        <f>U73*F73</f>
        <v>0</v>
      </c>
      <c r="W73" s="69"/>
      <c r="X73" s="75">
        <v>145880</v>
      </c>
      <c r="Y73" s="69"/>
      <c r="Z73" s="69">
        <f>Y73*F73</f>
        <v>0</v>
      </c>
      <c r="AA73" s="69"/>
      <c r="AB73" s="75">
        <v>289625</v>
      </c>
      <c r="AC73" s="69">
        <v>81</v>
      </c>
      <c r="AD73" s="69">
        <f>AC73*F73</f>
        <v>81000</v>
      </c>
      <c r="AE73" s="69"/>
      <c r="AF73" s="75">
        <v>233495</v>
      </c>
      <c r="AG73" s="71">
        <f t="shared" si="18"/>
        <v>1209000</v>
      </c>
      <c r="AH73" s="9"/>
    </row>
    <row r="74" spans="1:34" x14ac:dyDescent="0.25">
      <c r="A74" s="56" t="s">
        <v>87</v>
      </c>
      <c r="B74" s="314" t="s">
        <v>88</v>
      </c>
      <c r="C74" s="315"/>
      <c r="D74" s="316"/>
      <c r="E74" s="73" t="s">
        <v>73</v>
      </c>
      <c r="F74" s="69">
        <v>2500</v>
      </c>
      <c r="G74" s="69"/>
      <c r="H74" s="69">
        <f>G74*F74</f>
        <v>0</v>
      </c>
      <c r="I74" s="69">
        <v>9</v>
      </c>
      <c r="J74" s="69">
        <v>540469</v>
      </c>
      <c r="K74" s="69"/>
      <c r="L74" s="69"/>
      <c r="M74" s="69"/>
      <c r="N74" s="69">
        <f>M73*F74</f>
        <v>0</v>
      </c>
      <c r="O74" s="69"/>
      <c r="P74" s="69"/>
      <c r="Q74" s="69"/>
      <c r="R74" s="69">
        <v>295709</v>
      </c>
      <c r="S74" s="69"/>
      <c r="T74" s="69"/>
      <c r="U74" s="69"/>
      <c r="V74" s="69">
        <f>U73*F74</f>
        <v>0</v>
      </c>
      <c r="W74" s="69"/>
      <c r="X74" s="71">
        <v>353165</v>
      </c>
      <c r="Y74" s="69"/>
      <c r="Z74" s="69">
        <f>Y73*F74</f>
        <v>0</v>
      </c>
      <c r="AA74" s="69"/>
      <c r="AB74" s="71">
        <v>510550</v>
      </c>
      <c r="AC74" s="69"/>
      <c r="AD74" s="69">
        <f>AC73*F74</f>
        <v>202500</v>
      </c>
      <c r="AE74" s="69"/>
      <c r="AF74" s="71">
        <v>365465</v>
      </c>
      <c r="AG74" s="71">
        <f t="shared" si="18"/>
        <v>2065358</v>
      </c>
      <c r="AH74" s="9"/>
    </row>
    <row r="75" spans="1:34" x14ac:dyDescent="0.25">
      <c r="A75" s="57" t="s">
        <v>89</v>
      </c>
      <c r="B75" s="292" t="s">
        <v>90</v>
      </c>
      <c r="C75" s="293"/>
      <c r="D75" s="294"/>
      <c r="E75" s="76" t="s">
        <v>73</v>
      </c>
      <c r="F75" s="77"/>
      <c r="G75" s="77"/>
      <c r="H75" s="77"/>
      <c r="I75" s="77"/>
      <c r="J75" s="77">
        <f>4005765+66871</f>
        <v>4072636</v>
      </c>
      <c r="K75" s="77"/>
      <c r="L75" s="77"/>
      <c r="M75" s="77"/>
      <c r="N75" s="77"/>
      <c r="O75" s="77"/>
      <c r="P75" s="77"/>
      <c r="Q75" s="77"/>
      <c r="R75" s="77">
        <f>3985+46684</f>
        <v>50669</v>
      </c>
      <c r="S75" s="77"/>
      <c r="T75" s="77"/>
      <c r="U75" s="77"/>
      <c r="V75" s="77"/>
      <c r="W75" s="77"/>
      <c r="X75" s="78">
        <v>14957</v>
      </c>
      <c r="Y75" s="77"/>
      <c r="Z75" s="77"/>
      <c r="AA75" s="77"/>
      <c r="AB75" s="78">
        <f>5271404+64974</f>
        <v>5336378</v>
      </c>
      <c r="AC75" s="77"/>
      <c r="AD75" s="77"/>
      <c r="AE75" s="77"/>
      <c r="AF75" s="78">
        <f>8440+43471</f>
        <v>51911</v>
      </c>
      <c r="AG75" s="71">
        <f t="shared" si="18"/>
        <v>9526551</v>
      </c>
      <c r="AH75" s="9"/>
    </row>
    <row r="76" spans="1:34" x14ac:dyDescent="0.25">
      <c r="A76" s="56" t="s">
        <v>91</v>
      </c>
      <c r="B76" s="278" t="s">
        <v>92</v>
      </c>
      <c r="C76" s="279"/>
      <c r="D76" s="280"/>
      <c r="E76" s="73" t="s">
        <v>73</v>
      </c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71"/>
      <c r="Y76" s="69"/>
      <c r="Z76" s="69"/>
      <c r="AA76" s="69"/>
      <c r="AB76" s="71"/>
      <c r="AC76" s="69"/>
      <c r="AD76" s="69"/>
      <c r="AE76" s="69"/>
      <c r="AF76" s="71"/>
      <c r="AG76" s="71">
        <f t="shared" si="18"/>
        <v>0</v>
      </c>
      <c r="AH76" s="9"/>
    </row>
    <row r="77" spans="1:34" x14ac:dyDescent="0.25">
      <c r="A77" s="56" t="s">
        <v>93</v>
      </c>
      <c r="B77" s="278" t="s">
        <v>94</v>
      </c>
      <c r="C77" s="279"/>
      <c r="D77" s="280"/>
      <c r="E77" s="73" t="s">
        <v>73</v>
      </c>
      <c r="F77" s="69"/>
      <c r="G77" s="69"/>
      <c r="H77" s="69"/>
      <c r="I77" s="69"/>
      <c r="J77" s="69">
        <v>27100</v>
      </c>
      <c r="K77" s="69"/>
      <c r="L77" s="69"/>
      <c r="M77" s="69"/>
      <c r="N77" s="69"/>
      <c r="O77" s="69"/>
      <c r="P77" s="69"/>
      <c r="Q77" s="69"/>
      <c r="R77" s="69">
        <v>20300</v>
      </c>
      <c r="S77" s="69"/>
      <c r="T77" s="69"/>
      <c r="U77" s="69"/>
      <c r="V77" s="69"/>
      <c r="W77" s="69"/>
      <c r="X77" s="71">
        <v>6800</v>
      </c>
      <c r="Y77" s="69"/>
      <c r="Z77" s="69"/>
      <c r="AA77" s="69"/>
      <c r="AB77" s="71">
        <v>20300</v>
      </c>
      <c r="AC77" s="69"/>
      <c r="AD77" s="69"/>
      <c r="AE77" s="69"/>
      <c r="AF77" s="71">
        <v>27100</v>
      </c>
      <c r="AG77" s="71">
        <f t="shared" si="18"/>
        <v>101600</v>
      </c>
      <c r="AH77" s="9"/>
    </row>
    <row r="78" spans="1:34" ht="16.5" customHeight="1" x14ac:dyDescent="0.25">
      <c r="A78" s="56">
        <v>11</v>
      </c>
      <c r="B78" s="295" t="s">
        <v>95</v>
      </c>
      <c r="C78" s="295"/>
      <c r="D78" s="295"/>
      <c r="E78" s="73" t="s">
        <v>73</v>
      </c>
      <c r="F78" s="69">
        <v>100</v>
      </c>
      <c r="G78" s="69"/>
      <c r="H78" s="69"/>
      <c r="I78" s="69"/>
      <c r="J78" s="69">
        <v>24648</v>
      </c>
      <c r="K78" s="69"/>
      <c r="L78" s="69"/>
      <c r="M78" s="69"/>
      <c r="N78" s="69"/>
      <c r="O78" s="69"/>
      <c r="P78" s="69"/>
      <c r="Q78" s="69"/>
      <c r="R78" s="69">
        <v>6968</v>
      </c>
      <c r="S78" s="69"/>
      <c r="T78" s="69"/>
      <c r="U78" s="69"/>
      <c r="V78" s="69"/>
      <c r="W78" s="69"/>
      <c r="X78" s="71">
        <v>9568</v>
      </c>
      <c r="Y78" s="69"/>
      <c r="Z78" s="69"/>
      <c r="AA78" s="69"/>
      <c r="AB78" s="71">
        <v>14560</v>
      </c>
      <c r="AC78" s="69"/>
      <c r="AD78" s="69"/>
      <c r="AE78" s="69"/>
      <c r="AF78" s="71">
        <v>8944</v>
      </c>
      <c r="AG78" s="71">
        <f t="shared" si="18"/>
        <v>64688</v>
      </c>
      <c r="AH78" s="9"/>
    </row>
    <row r="79" spans="1:34" ht="16.5" customHeight="1" x14ac:dyDescent="0.25">
      <c r="A79" s="56" t="s">
        <v>100</v>
      </c>
      <c r="B79" s="278" t="s">
        <v>104</v>
      </c>
      <c r="C79" s="279"/>
      <c r="D79" s="280"/>
      <c r="E79" s="73" t="s">
        <v>73</v>
      </c>
      <c r="F79" s="69"/>
      <c r="G79" s="69"/>
      <c r="H79" s="69"/>
      <c r="I79" s="69"/>
      <c r="J79" s="74">
        <f>4565958+1378919+2037000+380100-678600</f>
        <v>7683377</v>
      </c>
      <c r="K79" s="74"/>
      <c r="L79" s="74"/>
      <c r="M79" s="69"/>
      <c r="N79" s="69"/>
      <c r="O79" s="69"/>
      <c r="P79" s="69"/>
      <c r="Q79" s="69"/>
      <c r="R79" s="74">
        <f>2101399+634622+1019000+190000-339200</f>
        <v>3605821</v>
      </c>
      <c r="S79" s="74"/>
      <c r="T79" s="74"/>
      <c r="U79" s="69"/>
      <c r="V79" s="69"/>
      <c r="W79" s="69"/>
      <c r="X79" s="71">
        <f>2439099+736607+809000+152000-271500</f>
        <v>3865206</v>
      </c>
      <c r="Y79" s="69"/>
      <c r="Z79" s="69"/>
      <c r="AA79" s="69"/>
      <c r="AB79" s="75">
        <f>4319780+2005000+380000-678500</f>
        <v>6026280</v>
      </c>
      <c r="AC79" s="69"/>
      <c r="AD79" s="69"/>
      <c r="AE79" s="69"/>
      <c r="AF79" s="75">
        <f>1939695+585788+929000+164700-294000</f>
        <v>3325183</v>
      </c>
      <c r="AG79" s="71">
        <f t="shared" si="18"/>
        <v>24505867</v>
      </c>
      <c r="AH79" s="9"/>
    </row>
    <row r="80" spans="1:34" ht="16.5" customHeight="1" x14ac:dyDescent="0.25">
      <c r="A80" s="56" t="s">
        <v>101</v>
      </c>
      <c r="B80" s="278" t="s">
        <v>102</v>
      </c>
      <c r="C80" s="279"/>
      <c r="D80" s="280"/>
      <c r="E80" s="73" t="s">
        <v>73</v>
      </c>
      <c r="F80" s="69"/>
      <c r="G80" s="69"/>
      <c r="H80" s="69"/>
      <c r="I80" s="69"/>
      <c r="J80" s="69">
        <v>3573939</v>
      </c>
      <c r="K80" s="69"/>
      <c r="L80" s="69"/>
      <c r="M80" s="69"/>
      <c r="N80" s="69"/>
      <c r="O80" s="69"/>
      <c r="P80" s="69"/>
      <c r="Q80" s="69"/>
      <c r="R80" s="69">
        <v>938809</v>
      </c>
      <c r="S80" s="69"/>
      <c r="T80" s="69"/>
      <c r="U80" s="69"/>
      <c r="V80" s="69"/>
      <c r="W80" s="69"/>
      <c r="X80">
        <v>751968</v>
      </c>
      <c r="Y80" s="69"/>
      <c r="Z80" s="69"/>
      <c r="AA80" s="69"/>
      <c r="AB80" s="71">
        <v>2799482</v>
      </c>
      <c r="AC80" s="69"/>
      <c r="AD80" s="69"/>
      <c r="AE80" s="69"/>
      <c r="AF80" s="71">
        <v>1172280</v>
      </c>
      <c r="AG80" s="71">
        <f t="shared" si="18"/>
        <v>9236478</v>
      </c>
      <c r="AH80" s="9"/>
    </row>
    <row r="81" spans="1:34" x14ac:dyDescent="0.25">
      <c r="A81" s="339" t="s">
        <v>223</v>
      </c>
      <c r="B81" s="339"/>
      <c r="C81" s="339"/>
      <c r="D81" s="339"/>
      <c r="E81" s="79"/>
      <c r="F81" s="80"/>
      <c r="G81" s="80"/>
      <c r="H81" s="80"/>
      <c r="I81" s="80"/>
      <c r="J81" s="80">
        <f>SUM(J68:J80)</f>
        <v>18444798</v>
      </c>
      <c r="K81" s="80"/>
      <c r="L81" s="80"/>
      <c r="M81" s="80"/>
      <c r="N81" s="80"/>
      <c r="O81" s="80"/>
      <c r="P81" s="80"/>
      <c r="Q81" s="80"/>
      <c r="R81" s="80">
        <f>SUM(R68:R80)</f>
        <v>6048886</v>
      </c>
      <c r="S81" s="80"/>
      <c r="T81" s="80"/>
      <c r="U81" s="80"/>
      <c r="V81" s="80"/>
      <c r="W81" s="80"/>
      <c r="X81" s="81">
        <f>SUM(X68:X80)</f>
        <v>6530168</v>
      </c>
      <c r="Y81" s="80"/>
      <c r="Z81" s="80"/>
      <c r="AA81" s="80"/>
      <c r="AB81" s="81">
        <f>SUM(AB68:AB80)</f>
        <v>16932235</v>
      </c>
      <c r="AC81" s="80"/>
      <c r="AD81" s="80"/>
      <c r="AE81" s="80"/>
      <c r="AF81" s="80">
        <f>SUM(AF68:AF80)</f>
        <v>6262413</v>
      </c>
      <c r="AG81" s="81">
        <f>J81+R81+X81+AB81+AF81</f>
        <v>54218500</v>
      </c>
      <c r="AH81" s="9"/>
    </row>
    <row r="82" spans="1:34" x14ac:dyDescent="0.25">
      <c r="A82" s="82"/>
      <c r="B82" s="83" t="s">
        <v>114</v>
      </c>
      <c r="C82" s="83"/>
      <c r="D82" s="83"/>
      <c r="E82" s="84"/>
      <c r="F82" s="54"/>
      <c r="G82" s="54"/>
      <c r="H82" s="54"/>
      <c r="I82" s="54"/>
      <c r="J82" s="54">
        <f>J81/G68</f>
        <v>78155.923728813563</v>
      </c>
      <c r="K82" s="54"/>
      <c r="L82" s="54"/>
      <c r="M82" s="54"/>
      <c r="N82" s="54"/>
      <c r="O82" s="54"/>
      <c r="P82" s="54"/>
      <c r="Q82" s="54"/>
      <c r="R82" s="54">
        <f>R81/M68</f>
        <v>114129.92452830188</v>
      </c>
      <c r="S82" s="54"/>
      <c r="T82" s="54"/>
      <c r="U82" s="54"/>
      <c r="V82" s="54"/>
      <c r="W82" s="54"/>
      <c r="X82" s="54">
        <f>X81/U68</f>
        <v>73372.674157303365</v>
      </c>
      <c r="Y82" s="54"/>
      <c r="Z82" s="54"/>
      <c r="AA82" s="54"/>
      <c r="AB82" s="54">
        <f>AB81/Y68</f>
        <v>127310.03759398496</v>
      </c>
      <c r="AC82" s="54"/>
      <c r="AD82" s="54"/>
      <c r="AE82" s="54"/>
      <c r="AF82" s="54">
        <f>AF81/AC68</f>
        <v>77313.740740740745</v>
      </c>
      <c r="AG82" s="54"/>
    </row>
    <row r="83" spans="1:34" x14ac:dyDescent="0.25">
      <c r="A83" s="82"/>
      <c r="B83" s="83"/>
      <c r="C83" s="83"/>
      <c r="D83" s="83"/>
      <c r="E83" s="8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</row>
    <row r="84" spans="1:34" ht="30" x14ac:dyDescent="0.25">
      <c r="A84" s="376" t="s">
        <v>225</v>
      </c>
      <c r="B84" s="377"/>
      <c r="C84" s="377"/>
      <c r="D84" s="377"/>
      <c r="E84" s="377"/>
      <c r="F84" s="377"/>
      <c r="G84" s="377"/>
      <c r="H84" s="377"/>
      <c r="I84" s="378"/>
      <c r="J84" s="46" t="s">
        <v>192</v>
      </c>
      <c r="K84" s="46"/>
      <c r="L84" s="46"/>
      <c r="M84" s="46" t="s">
        <v>193</v>
      </c>
      <c r="N84" s="46" t="s">
        <v>194</v>
      </c>
      <c r="O84" s="46" t="s">
        <v>195</v>
      </c>
      <c r="P84" s="46"/>
      <c r="Q84" s="46"/>
      <c r="R84" s="46" t="s">
        <v>196</v>
      </c>
      <c r="S84" s="46"/>
      <c r="T84" s="46"/>
      <c r="U84" s="46" t="s">
        <v>183</v>
      </c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</row>
    <row r="85" spans="1:34" x14ac:dyDescent="0.25">
      <c r="A85" s="376" t="s">
        <v>170</v>
      </c>
      <c r="B85" s="377"/>
      <c r="C85" s="377"/>
      <c r="D85" s="377"/>
      <c r="E85" s="377"/>
      <c r="F85" s="377"/>
      <c r="G85" s="377"/>
      <c r="H85" s="377"/>
      <c r="I85" s="378"/>
      <c r="J85" s="115">
        <f>SUM(J86:J88)</f>
        <v>1554265</v>
      </c>
      <c r="K85" s="115"/>
      <c r="L85" s="115"/>
      <c r="M85" s="115">
        <f>SUM(M86:M88)</f>
        <v>761187</v>
      </c>
      <c r="N85" s="115">
        <f t="shared" ref="N85:R85" si="19">SUM(N86:N88)</f>
        <v>938333</v>
      </c>
      <c r="O85" s="115">
        <f t="shared" si="19"/>
        <v>1301219</v>
      </c>
      <c r="P85" s="115"/>
      <c r="Q85" s="115"/>
      <c r="R85" s="115">
        <f t="shared" si="19"/>
        <v>1004655</v>
      </c>
      <c r="S85" s="115"/>
      <c r="T85" s="115"/>
      <c r="U85" s="115">
        <f>SUM(J85:R85)</f>
        <v>5559659</v>
      </c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</row>
    <row r="86" spans="1:34" x14ac:dyDescent="0.25">
      <c r="A86" s="373" t="s">
        <v>178</v>
      </c>
      <c r="B86" s="374"/>
      <c r="C86" s="374"/>
      <c r="D86" s="374"/>
      <c r="E86" s="374"/>
      <c r="F86" s="374"/>
      <c r="G86" s="374"/>
      <c r="H86" s="374"/>
      <c r="I86" s="375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</row>
    <row r="87" spans="1:34" x14ac:dyDescent="0.25">
      <c r="A87" s="274" t="s">
        <v>176</v>
      </c>
      <c r="B87" s="369"/>
      <c r="C87" s="369"/>
      <c r="D87" s="369"/>
      <c r="E87" s="369"/>
      <c r="F87" s="369"/>
      <c r="G87" s="369"/>
      <c r="H87" s="369"/>
      <c r="I87" s="275"/>
      <c r="J87" s="35">
        <f>J73+J74+J77</f>
        <v>919629</v>
      </c>
      <c r="K87" s="35"/>
      <c r="L87" s="35"/>
      <c r="M87" s="35">
        <f>R73+R74+R77</f>
        <v>503949</v>
      </c>
      <c r="N87" s="35">
        <f>X73+X74+X77</f>
        <v>505845</v>
      </c>
      <c r="O87" s="35">
        <f>AB73+AB74+AB77</f>
        <v>820475</v>
      </c>
      <c r="P87" s="35"/>
      <c r="Q87" s="35"/>
      <c r="R87" s="35">
        <f>AF73+AF74+AF77</f>
        <v>626060</v>
      </c>
      <c r="S87" s="35"/>
      <c r="T87" s="35"/>
      <c r="U87" s="35">
        <f t="shared" ref="U87:U94" si="20">SUM(J87:R87)</f>
        <v>3375958</v>
      </c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</row>
    <row r="88" spans="1:34" x14ac:dyDescent="0.25">
      <c r="A88" s="274" t="s">
        <v>175</v>
      </c>
      <c r="B88" s="369"/>
      <c r="C88" s="369"/>
      <c r="D88" s="369"/>
      <c r="E88" s="369"/>
      <c r="F88" s="369"/>
      <c r="G88" s="369"/>
      <c r="H88" s="369"/>
      <c r="I88" s="275"/>
      <c r="J88" s="35">
        <f>J68+J69+J78</f>
        <v>634636</v>
      </c>
      <c r="K88" s="35"/>
      <c r="L88" s="35"/>
      <c r="M88" s="35">
        <f>R68+R69+R78</f>
        <v>257238</v>
      </c>
      <c r="N88" s="35">
        <f>X68+X69+X78</f>
        <v>432488</v>
      </c>
      <c r="O88" s="35">
        <f>AB68+AB69+AB78</f>
        <v>480744</v>
      </c>
      <c r="P88" s="35"/>
      <c r="Q88" s="35"/>
      <c r="R88" s="35">
        <f>AF68+AF69+AF78</f>
        <v>378595</v>
      </c>
      <c r="S88" s="35"/>
      <c r="T88" s="35"/>
      <c r="U88" s="35">
        <f t="shared" si="20"/>
        <v>2183701</v>
      </c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</row>
    <row r="89" spans="1:34" x14ac:dyDescent="0.25">
      <c r="A89" s="370" t="s">
        <v>177</v>
      </c>
      <c r="B89" s="371"/>
      <c r="C89" s="371"/>
      <c r="D89" s="371"/>
      <c r="E89" s="371"/>
      <c r="F89" s="371"/>
      <c r="G89" s="371"/>
      <c r="H89" s="371"/>
      <c r="I89" s="372"/>
      <c r="J89" s="114">
        <f>J90+J91+J97+J98</f>
        <v>16890533</v>
      </c>
      <c r="K89" s="114"/>
      <c r="L89" s="114"/>
      <c r="M89" s="114">
        <f>M90+M91+M97+M98</f>
        <v>5287699</v>
      </c>
      <c r="N89" s="114">
        <f t="shared" ref="N89:R89" si="21">N90+N91+N97+N98</f>
        <v>5591835</v>
      </c>
      <c r="O89" s="114">
        <f t="shared" si="21"/>
        <v>15631016</v>
      </c>
      <c r="P89" s="114"/>
      <c r="Q89" s="114"/>
      <c r="R89" s="114">
        <f t="shared" si="21"/>
        <v>5257758</v>
      </c>
      <c r="S89" s="114"/>
      <c r="T89" s="114"/>
      <c r="U89" s="114">
        <f t="shared" si="20"/>
        <v>48658841</v>
      </c>
      <c r="V89" s="116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</row>
    <row r="90" spans="1:34" x14ac:dyDescent="0.25">
      <c r="A90" s="373" t="s">
        <v>179</v>
      </c>
      <c r="B90" s="374"/>
      <c r="C90" s="374"/>
      <c r="D90" s="374"/>
      <c r="E90" s="374"/>
      <c r="F90" s="374"/>
      <c r="G90" s="374"/>
      <c r="H90" s="374"/>
      <c r="I90" s="375"/>
      <c r="J90" s="113">
        <f>J79</f>
        <v>7683377</v>
      </c>
      <c r="K90" s="113"/>
      <c r="L90" s="113"/>
      <c r="M90" s="113">
        <f>R79</f>
        <v>3605821</v>
      </c>
      <c r="N90" s="113">
        <f>X79</f>
        <v>3865206</v>
      </c>
      <c r="O90" s="113">
        <f>AB79</f>
        <v>6026280</v>
      </c>
      <c r="P90" s="113"/>
      <c r="Q90" s="113"/>
      <c r="R90" s="113">
        <f>AF79</f>
        <v>3325183</v>
      </c>
      <c r="S90" s="113"/>
      <c r="T90" s="113"/>
      <c r="U90" s="113">
        <f t="shared" si="20"/>
        <v>24505867</v>
      </c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</row>
    <row r="91" spans="1:34" x14ac:dyDescent="0.25">
      <c r="A91" s="274" t="s">
        <v>171</v>
      </c>
      <c r="B91" s="369"/>
      <c r="C91" s="369"/>
      <c r="D91" s="369"/>
      <c r="E91" s="369"/>
      <c r="F91" s="369"/>
      <c r="G91" s="369"/>
      <c r="H91" s="369"/>
      <c r="I91" s="275"/>
      <c r="J91" s="113">
        <f>SUM(J92:J94)</f>
        <v>2455149</v>
      </c>
      <c r="K91" s="113"/>
      <c r="L91" s="113"/>
      <c r="M91" s="113">
        <f t="shared" ref="M91:R91" si="22">SUM(M92:M94)</f>
        <v>662611.80000000005</v>
      </c>
      <c r="N91" s="113">
        <f t="shared" si="22"/>
        <v>518670.4</v>
      </c>
      <c r="O91" s="113">
        <f t="shared" si="22"/>
        <v>1717066.4</v>
      </c>
      <c r="P91" s="113"/>
      <c r="Q91" s="113"/>
      <c r="R91" s="113">
        <f t="shared" si="22"/>
        <v>776309</v>
      </c>
      <c r="S91" s="113"/>
      <c r="T91" s="113"/>
      <c r="U91" s="113">
        <f t="shared" si="20"/>
        <v>6129806.5999999996</v>
      </c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</row>
    <row r="92" spans="1:34" x14ac:dyDescent="0.25">
      <c r="A92" s="274" t="s">
        <v>172</v>
      </c>
      <c r="B92" s="369"/>
      <c r="C92" s="369"/>
      <c r="D92" s="369"/>
      <c r="E92" s="369"/>
      <c r="F92" s="369"/>
      <c r="G92" s="369"/>
      <c r="H92" s="369"/>
      <c r="I92" s="275"/>
      <c r="J92" s="35">
        <f>854340*90%</f>
        <v>768906</v>
      </c>
      <c r="K92" s="35"/>
      <c r="L92" s="35"/>
      <c r="M92" s="35">
        <f>252352*90%</f>
        <v>227116.80000000002</v>
      </c>
      <c r="N92" s="35">
        <f>356716*90%</f>
        <v>321044.40000000002</v>
      </c>
      <c r="O92" s="35">
        <f>356096*90%</f>
        <v>320486.40000000002</v>
      </c>
      <c r="P92" s="35"/>
      <c r="Q92" s="35"/>
      <c r="R92" s="35">
        <f>178535*90%</f>
        <v>160681.5</v>
      </c>
      <c r="S92" s="35"/>
      <c r="T92" s="35"/>
      <c r="U92" s="35">
        <f t="shared" si="20"/>
        <v>1798235.1</v>
      </c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</row>
    <row r="93" spans="1:34" x14ac:dyDescent="0.25">
      <c r="A93" s="274" t="s">
        <v>173</v>
      </c>
      <c r="B93" s="369"/>
      <c r="C93" s="369"/>
      <c r="D93" s="369"/>
      <c r="E93" s="369"/>
      <c r="F93" s="369"/>
      <c r="G93" s="369"/>
      <c r="H93" s="369"/>
      <c r="I93" s="275"/>
      <c r="J93" s="35">
        <f>2066712*50%</f>
        <v>1033356</v>
      </c>
      <c r="K93" s="35"/>
      <c r="L93" s="35"/>
      <c r="M93" s="35">
        <f>501924*50%</f>
        <v>250962</v>
      </c>
      <c r="N93" s="35">
        <f>395252*50%</f>
        <v>197626</v>
      </c>
      <c r="O93" s="35">
        <f>2093612*50%</f>
        <v>1046806</v>
      </c>
      <c r="P93" s="35"/>
      <c r="Q93" s="35"/>
      <c r="R93" s="35">
        <f>756235*50%</f>
        <v>378117.5</v>
      </c>
      <c r="S93" s="35"/>
      <c r="T93" s="35"/>
      <c r="U93" s="35">
        <f t="shared" si="20"/>
        <v>2906867.5</v>
      </c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</row>
    <row r="94" spans="1:34" x14ac:dyDescent="0.25">
      <c r="A94" s="274" t="s">
        <v>174</v>
      </c>
      <c r="B94" s="369"/>
      <c r="C94" s="369"/>
      <c r="D94" s="369"/>
      <c r="E94" s="369"/>
      <c r="F94" s="369"/>
      <c r="G94" s="369"/>
      <c r="H94" s="369"/>
      <c r="I94" s="275"/>
      <c r="J94" s="35">
        <f>265889+386998</f>
        <v>652887</v>
      </c>
      <c r="K94" s="35"/>
      <c r="L94" s="35"/>
      <c r="M94" s="35">
        <f>75151+109382</f>
        <v>184533</v>
      </c>
      <c r="N94" s="35"/>
      <c r="O94" s="35">
        <f>142446+207328</f>
        <v>349774</v>
      </c>
      <c r="P94" s="35"/>
      <c r="Q94" s="35"/>
      <c r="R94" s="35">
        <f>96726+140784</f>
        <v>237510</v>
      </c>
      <c r="S94" s="35"/>
      <c r="T94" s="35"/>
      <c r="U94" s="35">
        <f t="shared" si="20"/>
        <v>1424704</v>
      </c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</row>
    <row r="95" spans="1:34" x14ac:dyDescent="0.25">
      <c r="A95" s="274" t="s">
        <v>180</v>
      </c>
      <c r="B95" s="369"/>
      <c r="C95" s="369"/>
      <c r="D95" s="369"/>
      <c r="E95" s="369"/>
      <c r="F95" s="369"/>
      <c r="G95" s="369"/>
      <c r="H95" s="369"/>
      <c r="I95" s="27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7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</row>
    <row r="96" spans="1:34" x14ac:dyDescent="0.25">
      <c r="A96" s="274" t="s">
        <v>181</v>
      </c>
      <c r="B96" s="369"/>
      <c r="C96" s="369"/>
      <c r="D96" s="369"/>
      <c r="E96" s="369"/>
      <c r="F96" s="369"/>
      <c r="G96" s="369"/>
      <c r="H96" s="369"/>
      <c r="I96" s="27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7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</row>
    <row r="97" spans="1:33" x14ac:dyDescent="0.25">
      <c r="A97" s="364" t="s">
        <v>182</v>
      </c>
      <c r="B97" s="268"/>
      <c r="C97" s="268"/>
      <c r="D97" s="268"/>
      <c r="E97" s="268"/>
      <c r="F97" s="268"/>
      <c r="G97" s="268"/>
      <c r="H97" s="268"/>
      <c r="I97" s="365"/>
      <c r="J97" s="35">
        <f>J70+J72+J75+J80-J92-J93-J94-390778</f>
        <v>6361229</v>
      </c>
      <c r="K97" s="35"/>
      <c r="L97" s="35"/>
      <c r="M97" s="35">
        <f>R70+R72+R80+R75-M91-M98</f>
        <v>879091.19999999995</v>
      </c>
      <c r="N97" s="35">
        <f>X70+X72+X75+X80-N91-390778</f>
        <v>817180.60000000009</v>
      </c>
      <c r="O97" s="35">
        <f>AB70+AB72+AB75+AB80-O91-268669</f>
        <v>7619000.5999999996</v>
      </c>
      <c r="P97" s="35"/>
      <c r="Q97" s="35"/>
      <c r="R97" s="35">
        <f>AF70+AF72+AF75+AF80-R91-163538</f>
        <v>992728</v>
      </c>
      <c r="S97" s="35"/>
      <c r="T97" s="35"/>
      <c r="U97" s="35">
        <f>SUM(J97:R97)</f>
        <v>16669229.4</v>
      </c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</row>
    <row r="98" spans="1:33" x14ac:dyDescent="0.25">
      <c r="A98" s="274" t="s">
        <v>175</v>
      </c>
      <c r="B98" s="369"/>
      <c r="C98" s="369"/>
      <c r="D98" s="369"/>
      <c r="E98" s="369"/>
      <c r="F98" s="369"/>
      <c r="G98" s="369"/>
      <c r="H98" s="369"/>
      <c r="I98" s="275"/>
      <c r="J98" s="35">
        <f>390778</f>
        <v>390778</v>
      </c>
      <c r="K98" s="35"/>
      <c r="L98" s="35"/>
      <c r="M98" s="35">
        <f>140175</f>
        <v>140175</v>
      </c>
      <c r="N98" s="35">
        <v>390778</v>
      </c>
      <c r="O98" s="35">
        <v>268669</v>
      </c>
      <c r="P98" s="35"/>
      <c r="Q98" s="35"/>
      <c r="R98" s="35">
        <v>163538</v>
      </c>
      <c r="S98" s="35"/>
      <c r="T98" s="35"/>
      <c r="U98" s="35">
        <f>SUM(J98:R98)</f>
        <v>1353938</v>
      </c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</row>
    <row r="99" spans="1:33" x14ac:dyDescent="0.25">
      <c r="A99" s="274" t="s">
        <v>183</v>
      </c>
      <c r="B99" s="369"/>
      <c r="C99" s="369"/>
      <c r="D99" s="369"/>
      <c r="E99" s="369"/>
      <c r="F99" s="369"/>
      <c r="G99" s="369"/>
      <c r="H99" s="369"/>
      <c r="I99" s="275"/>
      <c r="J99" s="35">
        <f>J85+J89</f>
        <v>18444798</v>
      </c>
      <c r="K99" s="35"/>
      <c r="L99" s="35"/>
      <c r="M99" s="35">
        <f t="shared" ref="M99:R99" si="23">M85+M89</f>
        <v>6048886</v>
      </c>
      <c r="N99" s="35">
        <f t="shared" si="23"/>
        <v>6530168</v>
      </c>
      <c r="O99" s="35">
        <f t="shared" si="23"/>
        <v>16932235</v>
      </c>
      <c r="P99" s="35"/>
      <c r="Q99" s="35"/>
      <c r="R99" s="35">
        <f t="shared" si="23"/>
        <v>6262413</v>
      </c>
      <c r="S99" s="35"/>
      <c r="T99" s="35"/>
      <c r="U99" s="35">
        <f>SUM(J99:R99)</f>
        <v>54218500</v>
      </c>
      <c r="V99" s="54"/>
      <c r="W99" s="1"/>
      <c r="X99" s="1"/>
      <c r="Y99" s="1"/>
      <c r="Z99" s="1"/>
      <c r="AB99" s="54"/>
      <c r="AC99" s="54"/>
      <c r="AD99" s="54"/>
      <c r="AE99" s="54"/>
      <c r="AF99" s="54"/>
      <c r="AG99" s="54"/>
    </row>
    <row r="100" spans="1:33" x14ac:dyDescent="0.25">
      <c r="A100" s="274" t="s">
        <v>184</v>
      </c>
      <c r="B100" s="369"/>
      <c r="C100" s="369"/>
      <c r="D100" s="369"/>
      <c r="E100" s="369"/>
      <c r="F100" s="369"/>
      <c r="G100" s="369"/>
      <c r="H100" s="369"/>
      <c r="I100" s="275"/>
      <c r="J100" s="35">
        <f>J99/G68</f>
        <v>78155.923728813563</v>
      </c>
      <c r="K100" s="35"/>
      <c r="L100" s="35"/>
      <c r="M100" s="35">
        <f>M99/M68</f>
        <v>114129.92452830188</v>
      </c>
      <c r="N100" s="35">
        <f>N99/U68</f>
        <v>73372.674157303365</v>
      </c>
      <c r="O100" s="35">
        <f>O99/Y68</f>
        <v>127310.03759398496</v>
      </c>
      <c r="P100" s="35"/>
      <c r="Q100" s="35"/>
      <c r="R100" s="35">
        <f>R99/AC68</f>
        <v>77313.740740740745</v>
      </c>
      <c r="S100" s="35"/>
      <c r="T100" s="35"/>
      <c r="U100" s="7"/>
      <c r="V100" s="88"/>
      <c r="W100" s="1"/>
      <c r="X100" s="1"/>
      <c r="Y100" s="1"/>
      <c r="Z100" s="1"/>
      <c r="AB100" s="54"/>
      <c r="AC100" s="54"/>
      <c r="AD100" s="54"/>
      <c r="AE100" s="54"/>
      <c r="AF100" s="54"/>
      <c r="AG100" s="54"/>
    </row>
    <row r="101" spans="1:33" x14ac:dyDescent="0.25">
      <c r="A101" s="10"/>
      <c r="B101" s="10"/>
      <c r="C101" s="10"/>
      <c r="D101" s="10"/>
      <c r="E101" s="10"/>
      <c r="F101" s="10"/>
      <c r="G101" s="10"/>
      <c r="H101" s="10"/>
      <c r="I101" s="10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9"/>
      <c r="V101" s="88"/>
      <c r="W101" s="1"/>
      <c r="X101" s="1"/>
      <c r="Y101" s="1"/>
      <c r="Z101" s="1"/>
      <c r="AB101" s="54"/>
      <c r="AC101" s="54"/>
      <c r="AD101" s="54"/>
      <c r="AE101" s="54"/>
      <c r="AF101" s="54"/>
      <c r="AG101" s="54"/>
    </row>
    <row r="102" spans="1:33" x14ac:dyDescent="0.25">
      <c r="A102" s="10"/>
      <c r="B102" s="10"/>
      <c r="C102" s="10"/>
      <c r="D102" s="10"/>
      <c r="E102" s="10"/>
      <c r="F102" s="10"/>
      <c r="G102" s="10"/>
      <c r="H102" s="10"/>
      <c r="I102" s="10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9"/>
      <c r="V102" s="88"/>
      <c r="W102" s="1"/>
      <c r="X102" s="1"/>
      <c r="Y102" s="1"/>
      <c r="Z102" s="1"/>
      <c r="AB102" s="54"/>
      <c r="AC102" s="54"/>
      <c r="AD102" s="54"/>
      <c r="AE102" s="54"/>
      <c r="AF102" s="54"/>
      <c r="AG102" s="54"/>
    </row>
    <row r="103" spans="1:33" x14ac:dyDescent="0.25">
      <c r="A103" s="10"/>
      <c r="B103" s="10"/>
      <c r="C103" s="10"/>
      <c r="D103" s="10"/>
      <c r="E103" s="10"/>
      <c r="F103" s="10"/>
      <c r="G103" s="10"/>
      <c r="H103" s="10"/>
      <c r="I103" s="10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9"/>
      <c r="V103" s="88"/>
      <c r="W103" s="1"/>
      <c r="X103" s="1"/>
      <c r="Y103" s="1"/>
      <c r="Z103" s="1"/>
      <c r="AB103" s="54"/>
      <c r="AC103" s="54"/>
      <c r="AD103" s="54"/>
      <c r="AE103" s="54"/>
      <c r="AF103" s="54"/>
      <c r="AG103" s="54"/>
    </row>
    <row r="104" spans="1:33" x14ac:dyDescent="0.25">
      <c r="A104" s="10"/>
      <c r="B104" s="10"/>
      <c r="C104" s="10"/>
      <c r="D104" s="10"/>
      <c r="E104" s="10"/>
      <c r="F104" s="10"/>
      <c r="G104" s="10"/>
      <c r="H104" s="10"/>
      <c r="I104" s="10"/>
      <c r="J104" s="107"/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9"/>
      <c r="V104" s="88"/>
      <c r="W104" s="1"/>
      <c r="X104" s="1"/>
      <c r="Y104" s="1"/>
      <c r="Z104" s="1"/>
      <c r="AB104" s="54"/>
      <c r="AC104" s="54"/>
      <c r="AD104" s="54"/>
      <c r="AE104" s="54"/>
      <c r="AF104" s="54"/>
      <c r="AG104" s="54"/>
    </row>
    <row r="105" spans="1:33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1" t="s">
        <v>236</v>
      </c>
      <c r="S105" s="1"/>
      <c r="T105" s="1"/>
      <c r="U105" s="1"/>
      <c r="V105" s="1"/>
      <c r="W105" s="1"/>
      <c r="AB105" s="54"/>
      <c r="AC105" s="54"/>
      <c r="AD105" s="54"/>
      <c r="AE105" s="54"/>
      <c r="AF105" s="54"/>
      <c r="AG105" s="54"/>
    </row>
    <row r="106" spans="1:33" x14ac:dyDescent="0.25">
      <c r="A106" s="82"/>
      <c r="B106" s="83"/>
      <c r="C106" s="83"/>
      <c r="D106" s="83"/>
      <c r="E106" s="8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1" t="s">
        <v>239</v>
      </c>
      <c r="S106" s="1"/>
      <c r="T106" s="1"/>
      <c r="U106" s="1"/>
      <c r="V106" s="1"/>
      <c r="W106" s="1"/>
      <c r="AB106" s="54"/>
      <c r="AC106" s="54"/>
      <c r="AD106" s="54"/>
      <c r="AE106" s="54"/>
      <c r="AF106" s="54"/>
      <c r="AG106" s="54"/>
    </row>
    <row r="107" spans="1:33" x14ac:dyDescent="0.25">
      <c r="A107" s="34"/>
      <c r="B107" s="32"/>
      <c r="C107" s="32"/>
      <c r="D107" s="32"/>
      <c r="E107" s="33"/>
      <c r="R107" s="1" t="s">
        <v>233</v>
      </c>
      <c r="S107" s="1"/>
      <c r="T107" s="1"/>
      <c r="U107" s="1"/>
      <c r="V107" s="1"/>
      <c r="W107" s="1"/>
      <c r="AG107">
        <v>45280.9</v>
      </c>
    </row>
    <row r="108" spans="1:33" x14ac:dyDescent="0.25">
      <c r="R108" s="1" t="s">
        <v>241</v>
      </c>
      <c r="S108" s="1"/>
      <c r="T108" s="1"/>
      <c r="U108" s="1"/>
      <c r="V108" s="1"/>
      <c r="W108" s="1"/>
    </row>
    <row r="109" spans="1:33" ht="29.25" customHeight="1" x14ac:dyDescent="0.25">
      <c r="A109" s="324" t="s">
        <v>4</v>
      </c>
      <c r="B109" s="326" t="s">
        <v>71</v>
      </c>
      <c r="C109" s="327"/>
      <c r="D109" s="328"/>
      <c r="E109" s="290" t="s">
        <v>2</v>
      </c>
      <c r="F109" s="276" t="s">
        <v>107</v>
      </c>
      <c r="G109" s="281" t="s">
        <v>38</v>
      </c>
      <c r="H109" s="281"/>
      <c r="I109" s="281"/>
      <c r="J109" s="281"/>
      <c r="K109" s="47"/>
      <c r="L109" s="47"/>
      <c r="M109" s="281" t="s">
        <v>39</v>
      </c>
      <c r="N109" s="281"/>
      <c r="O109" s="281"/>
      <c r="P109" s="281"/>
      <c r="Q109" s="281"/>
      <c r="R109" s="281"/>
      <c r="S109" s="47"/>
      <c r="T109" s="47"/>
      <c r="U109" s="281" t="s">
        <v>40</v>
      </c>
      <c r="V109" s="281"/>
      <c r="W109" s="281"/>
      <c r="X109" s="281"/>
      <c r="Y109" s="276" t="s">
        <v>110</v>
      </c>
    </row>
    <row r="110" spans="1:33" ht="70.5" customHeight="1" x14ac:dyDescent="0.25">
      <c r="A110" s="325"/>
      <c r="B110" s="329"/>
      <c r="C110" s="330"/>
      <c r="D110" s="331"/>
      <c r="E110" s="291"/>
      <c r="F110" s="277"/>
      <c r="G110" s="47" t="s">
        <v>108</v>
      </c>
      <c r="H110" s="47" t="s">
        <v>13</v>
      </c>
      <c r="I110" s="47" t="s">
        <v>14</v>
      </c>
      <c r="J110" s="47" t="s">
        <v>25</v>
      </c>
      <c r="K110" s="47"/>
      <c r="L110" s="47"/>
      <c r="M110" s="47" t="s">
        <v>12</v>
      </c>
      <c r="N110" s="47" t="s">
        <v>116</v>
      </c>
      <c r="O110" s="47" t="s">
        <v>14</v>
      </c>
      <c r="P110" s="47"/>
      <c r="Q110" s="47"/>
      <c r="R110" s="47" t="s">
        <v>25</v>
      </c>
      <c r="S110" s="47"/>
      <c r="T110" s="47"/>
      <c r="U110" s="47" t="s">
        <v>12</v>
      </c>
      <c r="V110" s="47" t="s">
        <v>116</v>
      </c>
      <c r="W110" s="47" t="s">
        <v>3</v>
      </c>
      <c r="X110" s="47" t="s">
        <v>25</v>
      </c>
      <c r="Y110" s="277"/>
    </row>
    <row r="111" spans="1:33" x14ac:dyDescent="0.25">
      <c r="A111" s="49" t="s">
        <v>8</v>
      </c>
      <c r="B111" s="287" t="s">
        <v>72</v>
      </c>
      <c r="C111" s="288"/>
      <c r="D111" s="289"/>
      <c r="E111" s="50" t="s">
        <v>73</v>
      </c>
      <c r="F111" s="85">
        <v>3000</v>
      </c>
      <c r="G111" s="51">
        <v>190</v>
      </c>
      <c r="H111" s="86"/>
      <c r="I111" s="51"/>
      <c r="J111" s="86">
        <f>890228-350000</f>
        <v>540228</v>
      </c>
      <c r="K111" s="86"/>
      <c r="L111" s="86"/>
      <c r="M111" s="51">
        <v>531</v>
      </c>
      <c r="N111" s="85">
        <v>1000</v>
      </c>
      <c r="O111" s="51"/>
      <c r="P111" s="51"/>
      <c r="Q111" s="51"/>
      <c r="R111" s="86">
        <f>803993-220000</f>
        <v>583993</v>
      </c>
      <c r="S111" s="86"/>
      <c r="T111" s="86"/>
      <c r="U111" s="51">
        <v>566</v>
      </c>
      <c r="V111" s="85">
        <v>1000</v>
      </c>
      <c r="W111" s="51">
        <v>28</v>
      </c>
      <c r="X111" s="86">
        <f>1008118-800000</f>
        <v>208118</v>
      </c>
      <c r="Y111" s="86">
        <f t="shared" ref="Y111:Y123" si="24">J111+R111+X111</f>
        <v>1332339</v>
      </c>
    </row>
    <row r="112" spans="1:33" x14ac:dyDescent="0.25">
      <c r="A112" s="49" t="s">
        <v>17</v>
      </c>
      <c r="B112" s="287" t="s">
        <v>79</v>
      </c>
      <c r="C112" s="288"/>
      <c r="D112" s="289"/>
      <c r="E112" s="50" t="s">
        <v>73</v>
      </c>
      <c r="F112" s="85">
        <v>1100</v>
      </c>
      <c r="G112" s="51"/>
      <c r="H112" s="86"/>
      <c r="I112" s="51"/>
      <c r="J112" s="86">
        <v>350000</v>
      </c>
      <c r="K112" s="86"/>
      <c r="L112" s="86"/>
      <c r="M112" s="51"/>
      <c r="N112" s="85">
        <v>250</v>
      </c>
      <c r="O112" s="51"/>
      <c r="P112" s="51"/>
      <c r="Q112" s="51"/>
      <c r="R112" s="86">
        <v>220000</v>
      </c>
      <c r="S112" s="86"/>
      <c r="T112" s="86"/>
      <c r="U112" s="51"/>
      <c r="V112" s="85">
        <v>450</v>
      </c>
      <c r="W112" s="51"/>
      <c r="X112" s="86">
        <v>800000</v>
      </c>
      <c r="Y112" s="86">
        <f t="shared" si="24"/>
        <v>1370000</v>
      </c>
    </row>
    <row r="113" spans="1:28" ht="32.25" customHeight="1" x14ac:dyDescent="0.25">
      <c r="A113" s="49" t="s">
        <v>20</v>
      </c>
      <c r="B113" s="317" t="s">
        <v>105</v>
      </c>
      <c r="C113" s="318"/>
      <c r="D113" s="319"/>
      <c r="E113" s="50" t="s">
        <v>73</v>
      </c>
      <c r="F113" s="85">
        <v>280</v>
      </c>
      <c r="G113" s="51"/>
      <c r="H113" s="86"/>
      <c r="I113" s="51"/>
      <c r="J113" s="86"/>
      <c r="K113" s="86"/>
      <c r="L113" s="86"/>
      <c r="M113" s="51"/>
      <c r="N113" s="85">
        <v>170</v>
      </c>
      <c r="O113" s="51"/>
      <c r="P113" s="51"/>
      <c r="Q113" s="51"/>
      <c r="R113" s="86"/>
      <c r="S113" s="86"/>
      <c r="T113" s="86"/>
      <c r="U113" s="51"/>
      <c r="V113" s="85">
        <v>450</v>
      </c>
      <c r="W113" s="51"/>
      <c r="X113" s="86"/>
      <c r="Y113" s="86">
        <f t="shared" si="24"/>
        <v>0</v>
      </c>
    </row>
    <row r="114" spans="1:28" x14ac:dyDescent="0.25">
      <c r="A114" s="49" t="s">
        <v>27</v>
      </c>
      <c r="B114" s="320" t="s">
        <v>102</v>
      </c>
      <c r="C114" s="320"/>
      <c r="D114" s="320"/>
      <c r="E114" s="50" t="s">
        <v>73</v>
      </c>
      <c r="F114" s="86"/>
      <c r="G114" s="51"/>
      <c r="H114" s="86"/>
      <c r="I114" s="51"/>
      <c r="J114" s="86">
        <v>922913</v>
      </c>
      <c r="K114" s="86"/>
      <c r="L114" s="86"/>
      <c r="M114" s="51"/>
      <c r="N114" s="86"/>
      <c r="O114" s="51"/>
      <c r="P114" s="51"/>
      <c r="Q114" s="51"/>
      <c r="R114" s="86">
        <v>354687</v>
      </c>
      <c r="S114" s="86"/>
      <c r="T114" s="86"/>
      <c r="U114" s="51"/>
      <c r="V114" s="86"/>
      <c r="W114" s="51"/>
      <c r="X114" s="86">
        <v>5814514</v>
      </c>
      <c r="Y114" s="86">
        <f t="shared" si="24"/>
        <v>7092114</v>
      </c>
      <c r="AB114" s="31"/>
    </row>
    <row r="115" spans="1:28" x14ac:dyDescent="0.25">
      <c r="A115" s="49" t="s">
        <v>83</v>
      </c>
      <c r="B115" s="320" t="s">
        <v>106</v>
      </c>
      <c r="C115" s="320"/>
      <c r="D115" s="320"/>
      <c r="E115" s="50" t="s">
        <v>73</v>
      </c>
      <c r="F115" s="85">
        <v>3.3</v>
      </c>
      <c r="G115" s="87">
        <v>54940</v>
      </c>
      <c r="H115" s="88"/>
      <c r="I115" s="51"/>
      <c r="J115" s="86">
        <v>333446</v>
      </c>
      <c r="K115" s="86"/>
      <c r="L115" s="86"/>
      <c r="M115" s="51"/>
      <c r="N115" s="85">
        <v>0.48</v>
      </c>
      <c r="O115" s="51"/>
      <c r="P115" s="51"/>
      <c r="Q115" s="51"/>
      <c r="R115" s="86">
        <v>299797</v>
      </c>
      <c r="S115" s="86"/>
      <c r="T115" s="86"/>
      <c r="U115" s="51"/>
      <c r="V115" s="85">
        <v>0.67</v>
      </c>
      <c r="W115" s="51"/>
      <c r="X115" s="89">
        <v>924018</v>
      </c>
      <c r="Y115" s="86">
        <f t="shared" si="24"/>
        <v>1557261</v>
      </c>
      <c r="Z115" s="18"/>
    </row>
    <row r="116" spans="1:28" x14ac:dyDescent="0.25">
      <c r="A116" s="49" t="s">
        <v>85</v>
      </c>
      <c r="B116" s="320" t="s">
        <v>109</v>
      </c>
      <c r="C116" s="320"/>
      <c r="D116" s="320"/>
      <c r="E116" s="50" t="s">
        <v>73</v>
      </c>
      <c r="F116" s="85">
        <v>4.9000000000000004</v>
      </c>
      <c r="G116" s="51">
        <v>54940</v>
      </c>
      <c r="H116" s="86"/>
      <c r="I116" s="51"/>
      <c r="J116" s="86"/>
      <c r="K116" s="86"/>
      <c r="L116" s="86"/>
      <c r="M116" s="51"/>
      <c r="N116" s="85">
        <v>0.73</v>
      </c>
      <c r="O116" s="51"/>
      <c r="P116" s="51"/>
      <c r="Q116" s="51"/>
      <c r="R116" s="86"/>
      <c r="S116" s="86"/>
      <c r="T116" s="86"/>
      <c r="U116" s="51"/>
      <c r="V116" s="85">
        <v>1.9</v>
      </c>
      <c r="W116" s="51"/>
      <c r="X116" s="89"/>
      <c r="Y116" s="86">
        <f t="shared" si="24"/>
        <v>0</v>
      </c>
    </row>
    <row r="117" spans="1:28" x14ac:dyDescent="0.25">
      <c r="A117" s="63" t="s">
        <v>87</v>
      </c>
      <c r="B117" s="321" t="s">
        <v>84</v>
      </c>
      <c r="C117" s="322"/>
      <c r="D117" s="323"/>
      <c r="E117" s="58" t="s">
        <v>73</v>
      </c>
      <c r="F117" s="90">
        <v>320</v>
      </c>
      <c r="G117" s="59"/>
      <c r="H117" s="91">
        <f>F117*5.46*170</f>
        <v>297024</v>
      </c>
      <c r="I117" s="59"/>
      <c r="J117" s="91">
        <v>375979</v>
      </c>
      <c r="K117" s="88"/>
      <c r="L117" s="88"/>
      <c r="M117" s="54"/>
      <c r="N117" s="90">
        <v>770</v>
      </c>
      <c r="O117" s="59"/>
      <c r="P117" s="59"/>
      <c r="Q117" s="59"/>
      <c r="R117" s="91">
        <v>346422</v>
      </c>
      <c r="S117" s="91"/>
      <c r="T117" s="91"/>
      <c r="U117" s="59"/>
      <c r="V117" s="90">
        <v>1120</v>
      </c>
      <c r="W117" s="59"/>
      <c r="X117" s="91">
        <v>554674</v>
      </c>
      <c r="Y117" s="86">
        <f t="shared" si="24"/>
        <v>1277075</v>
      </c>
    </row>
    <row r="118" spans="1:28" x14ac:dyDescent="0.25">
      <c r="A118" s="49" t="s">
        <v>89</v>
      </c>
      <c r="B118" s="314" t="s">
        <v>86</v>
      </c>
      <c r="C118" s="315"/>
      <c r="D118" s="316"/>
      <c r="E118" s="58" t="s">
        <v>73</v>
      </c>
      <c r="F118" s="52">
        <v>2.89</v>
      </c>
      <c r="G118" s="51"/>
      <c r="H118" s="86">
        <f>F118*G116</f>
        <v>158776.6</v>
      </c>
      <c r="I118" s="51"/>
      <c r="J118" s="92">
        <v>400000</v>
      </c>
      <c r="K118" s="92"/>
      <c r="L118" s="92"/>
      <c r="M118" s="93"/>
      <c r="N118" s="85">
        <v>0.9</v>
      </c>
      <c r="O118" s="93"/>
      <c r="P118" s="93"/>
      <c r="Q118" s="93"/>
      <c r="R118" s="92">
        <v>150000</v>
      </c>
      <c r="S118" s="92"/>
      <c r="T118" s="92"/>
      <c r="U118" s="93"/>
      <c r="V118" s="85">
        <v>0.33</v>
      </c>
      <c r="W118" s="93"/>
      <c r="X118" s="92">
        <v>100000</v>
      </c>
      <c r="Y118" s="86">
        <f t="shared" si="24"/>
        <v>650000</v>
      </c>
    </row>
    <row r="119" spans="1:28" x14ac:dyDescent="0.25">
      <c r="A119" s="49" t="s">
        <v>91</v>
      </c>
      <c r="B119" s="314" t="s">
        <v>88</v>
      </c>
      <c r="C119" s="315"/>
      <c r="D119" s="316"/>
      <c r="E119" s="58" t="s">
        <v>73</v>
      </c>
      <c r="F119" s="52">
        <v>5.3</v>
      </c>
      <c r="G119" s="51"/>
      <c r="H119" s="86">
        <f>F119*G116</f>
        <v>291182</v>
      </c>
      <c r="I119" s="51"/>
      <c r="J119" s="92">
        <v>300000</v>
      </c>
      <c r="K119" s="92"/>
      <c r="L119" s="92"/>
      <c r="M119" s="93"/>
      <c r="N119" s="85">
        <v>0.98</v>
      </c>
      <c r="O119" s="93"/>
      <c r="P119" s="93"/>
      <c r="Q119" s="93"/>
      <c r="R119" s="92">
        <v>384700</v>
      </c>
      <c r="S119" s="92"/>
      <c r="T119" s="92"/>
      <c r="U119" s="93"/>
      <c r="V119" s="85">
        <v>1.58</v>
      </c>
      <c r="W119" s="93"/>
      <c r="X119" s="92">
        <v>1000000</v>
      </c>
      <c r="Y119" s="86">
        <f t="shared" si="24"/>
        <v>1684700</v>
      </c>
    </row>
    <row r="120" spans="1:28" x14ac:dyDescent="0.25">
      <c r="A120" s="49" t="s">
        <v>93</v>
      </c>
      <c r="B120" s="292" t="s">
        <v>90</v>
      </c>
      <c r="C120" s="293"/>
      <c r="D120" s="294"/>
      <c r="E120" s="58" t="s">
        <v>73</v>
      </c>
      <c r="F120" s="51"/>
      <c r="G120" s="51"/>
      <c r="H120" s="86"/>
      <c r="I120" s="51"/>
      <c r="J120" s="117">
        <f>346814+31347</f>
        <v>378161</v>
      </c>
      <c r="K120" s="117"/>
      <c r="L120" s="117"/>
      <c r="M120" s="93"/>
      <c r="N120" s="92"/>
      <c r="O120" s="93"/>
      <c r="P120" s="93"/>
      <c r="Q120" s="93"/>
      <c r="R120" s="117">
        <v>29750</v>
      </c>
      <c r="S120" s="117"/>
      <c r="T120" s="117"/>
      <c r="U120" s="93"/>
      <c r="V120" s="92"/>
      <c r="W120" s="93"/>
      <c r="X120" s="117">
        <f>1635575+1242253</f>
        <v>2877828</v>
      </c>
      <c r="Y120" s="86">
        <f t="shared" si="24"/>
        <v>3285739</v>
      </c>
    </row>
    <row r="121" spans="1:28" x14ac:dyDescent="0.25">
      <c r="A121" s="49">
        <v>11</v>
      </c>
      <c r="B121" s="295" t="s">
        <v>95</v>
      </c>
      <c r="C121" s="295"/>
      <c r="D121" s="295"/>
      <c r="E121" s="58" t="s">
        <v>73</v>
      </c>
      <c r="F121" s="52">
        <v>760</v>
      </c>
      <c r="G121" s="51"/>
      <c r="H121" s="86"/>
      <c r="I121" s="51"/>
      <c r="J121" s="86">
        <v>154960</v>
      </c>
      <c r="K121" s="86"/>
      <c r="L121" s="86"/>
      <c r="M121" s="51"/>
      <c r="N121" s="85">
        <v>920</v>
      </c>
      <c r="O121" s="51"/>
      <c r="P121" s="51"/>
      <c r="Q121" s="51"/>
      <c r="R121" s="86">
        <v>187200</v>
      </c>
      <c r="S121" s="86"/>
      <c r="T121" s="86"/>
      <c r="U121" s="51"/>
      <c r="V121" s="85">
        <v>4050</v>
      </c>
      <c r="W121" s="51"/>
      <c r="X121" s="86">
        <f>1122440+1923400</f>
        <v>3045840</v>
      </c>
      <c r="Y121" s="86">
        <f t="shared" si="24"/>
        <v>3388000</v>
      </c>
    </row>
    <row r="122" spans="1:28" x14ac:dyDescent="0.25">
      <c r="A122" s="49" t="s">
        <v>100</v>
      </c>
      <c r="B122" s="278" t="s">
        <v>104</v>
      </c>
      <c r="C122" s="279"/>
      <c r="D122" s="280"/>
      <c r="E122" s="58" t="s">
        <v>73</v>
      </c>
      <c r="F122" s="51"/>
      <c r="G122" s="51"/>
      <c r="I122" s="51"/>
      <c r="J122" s="86">
        <f>21634774+2332923</f>
        <v>23967697</v>
      </c>
      <c r="K122" s="86"/>
      <c r="L122" s="86"/>
      <c r="M122" s="51"/>
      <c r="N122" s="86"/>
      <c r="O122" s="51"/>
      <c r="P122" s="51"/>
      <c r="Q122" s="51"/>
      <c r="R122" s="51">
        <f>19864517+2569577</f>
        <v>22434094</v>
      </c>
      <c r="S122" s="54"/>
      <c r="T122" s="54"/>
      <c r="V122" s="86"/>
      <c r="W122" s="51"/>
      <c r="X122" s="86">
        <f>32013630+9826200</f>
        <v>41839830</v>
      </c>
      <c r="Y122" s="86">
        <f t="shared" si="24"/>
        <v>88241621</v>
      </c>
    </row>
    <row r="123" spans="1:28" x14ac:dyDescent="0.25">
      <c r="A123" s="49" t="s">
        <v>101</v>
      </c>
      <c r="B123" s="278" t="s">
        <v>111</v>
      </c>
      <c r="C123" s="279"/>
      <c r="D123" s="280"/>
      <c r="E123" s="58" t="s">
        <v>73</v>
      </c>
      <c r="F123" s="85">
        <v>660</v>
      </c>
      <c r="G123" s="51"/>
      <c r="H123" s="86"/>
      <c r="I123" s="51"/>
      <c r="J123" s="86">
        <v>64886</v>
      </c>
      <c r="K123" s="86"/>
      <c r="L123" s="86"/>
      <c r="M123" s="51"/>
      <c r="N123" s="85">
        <v>215</v>
      </c>
      <c r="O123" s="51"/>
      <c r="P123" s="51"/>
      <c r="Q123" s="51"/>
      <c r="R123" s="51">
        <v>128234</v>
      </c>
      <c r="S123" s="54"/>
      <c r="T123" s="54"/>
      <c r="V123" s="85">
        <v>400</v>
      </c>
      <c r="W123" s="51"/>
      <c r="X123" s="86">
        <v>169331</v>
      </c>
      <c r="Y123" s="86">
        <f t="shared" si="24"/>
        <v>362451</v>
      </c>
    </row>
    <row r="124" spans="1:28" x14ac:dyDescent="0.25">
      <c r="A124" s="94"/>
      <c r="B124" s="332" t="s">
        <v>112</v>
      </c>
      <c r="C124" s="333"/>
      <c r="D124" s="334"/>
      <c r="E124" s="65"/>
      <c r="F124" s="95"/>
      <c r="G124" s="65"/>
      <c r="H124" s="95"/>
      <c r="I124" s="65"/>
      <c r="J124" s="95">
        <f>SUM(J111:J123)</f>
        <v>27788270</v>
      </c>
      <c r="K124" s="95"/>
      <c r="L124" s="95"/>
      <c r="M124" s="65"/>
      <c r="N124" s="95"/>
      <c r="O124" s="65"/>
      <c r="P124" s="65"/>
      <c r="Q124" s="65"/>
      <c r="R124" s="95">
        <f>SUM(R111:R123)</f>
        <v>25118877</v>
      </c>
      <c r="S124" s="95"/>
      <c r="T124" s="95"/>
      <c r="U124" s="65"/>
      <c r="V124" s="95"/>
      <c r="W124" s="65"/>
      <c r="X124" s="95">
        <f>SUM(X111:X123)</f>
        <v>57334153</v>
      </c>
      <c r="Y124" s="95">
        <f>SUM(Y111:Y123)</f>
        <v>110241300</v>
      </c>
      <c r="Z124" s="18"/>
      <c r="AB124" s="18"/>
    </row>
    <row r="125" spans="1:28" x14ac:dyDescent="0.25">
      <c r="A125" s="54"/>
      <c r="B125" s="54" t="s">
        <v>115</v>
      </c>
      <c r="C125" s="54"/>
      <c r="D125" s="54"/>
      <c r="E125" s="54"/>
      <c r="F125" s="54"/>
      <c r="G125" s="54">
        <v>51128</v>
      </c>
      <c r="H125" s="54"/>
      <c r="I125" s="54"/>
      <c r="J125" s="88">
        <f>J124/G111</f>
        <v>146254.05263157896</v>
      </c>
      <c r="K125" s="88"/>
      <c r="L125" s="88"/>
      <c r="M125" s="54">
        <v>310906</v>
      </c>
      <c r="N125" s="54"/>
      <c r="O125" s="54"/>
      <c r="P125" s="54"/>
      <c r="Q125" s="54"/>
      <c r="R125" s="88">
        <f>R124/M111</f>
        <v>47304.853107344636</v>
      </c>
      <c r="S125" s="88"/>
      <c r="T125" s="88"/>
      <c r="U125" s="88">
        <v>242736</v>
      </c>
      <c r="V125" s="88"/>
      <c r="W125" s="88"/>
      <c r="X125" s="88">
        <f>X124/U111</f>
        <v>101297.09010600706</v>
      </c>
      <c r="Y125" s="54">
        <v>82461196</v>
      </c>
    </row>
    <row r="126" spans="1:28" x14ac:dyDescent="0.25">
      <c r="A126" s="54"/>
      <c r="B126" s="54" t="s">
        <v>117</v>
      </c>
      <c r="C126" s="54"/>
      <c r="D126" s="54"/>
      <c r="E126" s="54"/>
      <c r="F126" s="54"/>
      <c r="G126" s="54"/>
      <c r="H126" s="54"/>
      <c r="I126" s="54"/>
      <c r="J126" s="88">
        <f>J124/G125</f>
        <v>543.50395086840865</v>
      </c>
      <c r="K126" s="88"/>
      <c r="L126" s="88"/>
      <c r="M126" s="54"/>
      <c r="N126" s="54"/>
      <c r="O126" s="54"/>
      <c r="P126" s="54"/>
      <c r="Q126" s="54"/>
      <c r="R126" s="88">
        <f>R124/M125</f>
        <v>80.792512849542945</v>
      </c>
      <c r="S126" s="88"/>
      <c r="T126" s="88"/>
      <c r="U126" s="54"/>
      <c r="V126" s="54"/>
      <c r="W126" s="54"/>
      <c r="X126" s="88">
        <f>X124/U125</f>
        <v>236.19962840287391</v>
      </c>
      <c r="Y126" s="88">
        <f>Y125-Y124</f>
        <v>-27780104</v>
      </c>
    </row>
    <row r="127" spans="1:28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88"/>
      <c r="K127" s="88"/>
      <c r="L127" s="88"/>
      <c r="M127" s="54"/>
      <c r="N127" s="54"/>
      <c r="O127" s="54"/>
      <c r="P127" s="54"/>
      <c r="Q127" s="54"/>
      <c r="R127" s="88"/>
      <c r="S127" s="88"/>
      <c r="T127" s="88"/>
      <c r="U127" s="54"/>
      <c r="V127" s="54"/>
      <c r="W127" s="54"/>
      <c r="X127" s="88"/>
      <c r="Y127" s="88"/>
    </row>
    <row r="128" spans="1:28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88"/>
      <c r="K128" s="88"/>
      <c r="L128" s="88"/>
      <c r="M128" s="54"/>
      <c r="N128" s="54"/>
      <c r="O128" s="54"/>
      <c r="P128" s="54"/>
      <c r="Q128" s="54"/>
      <c r="R128" s="88"/>
      <c r="S128" s="88"/>
      <c r="T128" s="88"/>
      <c r="U128" s="54"/>
      <c r="V128" s="54"/>
      <c r="W128" s="54"/>
      <c r="X128" s="88"/>
      <c r="Y128" s="88"/>
    </row>
    <row r="129" spans="1:25" ht="30" x14ac:dyDescent="0.25">
      <c r="A129" s="379" t="s">
        <v>226</v>
      </c>
      <c r="B129" s="380"/>
      <c r="C129" s="380"/>
      <c r="D129" s="380"/>
      <c r="E129" s="380"/>
      <c r="F129" s="380"/>
      <c r="G129" s="380"/>
      <c r="H129" s="380"/>
      <c r="I129" s="381"/>
      <c r="J129" s="46" t="s">
        <v>198</v>
      </c>
      <c r="K129" s="46"/>
      <c r="L129" s="46"/>
      <c r="M129" s="46" t="s">
        <v>199</v>
      </c>
      <c r="N129" s="46" t="s">
        <v>200</v>
      </c>
      <c r="O129" s="46" t="s">
        <v>183</v>
      </c>
      <c r="P129" s="126"/>
      <c r="Q129" s="126"/>
      <c r="R129" s="88"/>
      <c r="S129" s="88"/>
      <c r="T129" s="88"/>
      <c r="U129" s="54"/>
      <c r="V129" s="54"/>
      <c r="W129" s="54"/>
      <c r="X129" s="88"/>
      <c r="Y129" s="88"/>
    </row>
    <row r="130" spans="1:25" x14ac:dyDescent="0.25">
      <c r="A130" s="376" t="s">
        <v>170</v>
      </c>
      <c r="B130" s="377"/>
      <c r="C130" s="377"/>
      <c r="D130" s="377"/>
      <c r="E130" s="377"/>
      <c r="F130" s="377"/>
      <c r="G130" s="377"/>
      <c r="H130" s="377"/>
      <c r="I130" s="378"/>
      <c r="J130" s="118">
        <f>SUM(J131:J133)</f>
        <v>16820869.413000003</v>
      </c>
      <c r="K130" s="118"/>
      <c r="L130" s="118"/>
      <c r="M130" s="118">
        <f t="shared" ref="M130:N130" si="25">SUM(M131:M133)</f>
        <v>17700874.774</v>
      </c>
      <c r="N130" s="118">
        <f t="shared" si="25"/>
        <v>31429371.239999998</v>
      </c>
      <c r="O130" s="115">
        <f>SUM(J130:N130)</f>
        <v>65951115.427000001</v>
      </c>
      <c r="P130" s="118"/>
      <c r="Q130" s="118"/>
      <c r="R130" s="88"/>
      <c r="S130" s="88"/>
      <c r="T130" s="88"/>
      <c r="U130" s="54"/>
      <c r="V130" s="54"/>
      <c r="W130" s="54"/>
      <c r="X130" s="88"/>
      <c r="Y130" s="88"/>
    </row>
    <row r="131" spans="1:25" x14ac:dyDescent="0.25">
      <c r="A131" s="373" t="s">
        <v>178</v>
      </c>
      <c r="B131" s="374"/>
      <c r="C131" s="374"/>
      <c r="D131" s="374"/>
      <c r="E131" s="374"/>
      <c r="F131" s="374"/>
      <c r="G131" s="374"/>
      <c r="H131" s="374"/>
      <c r="I131" s="375"/>
      <c r="J131" s="7">
        <f>J122*62.9%</f>
        <v>15075681.413000001</v>
      </c>
      <c r="K131" s="7"/>
      <c r="L131" s="7"/>
      <c r="M131" s="7">
        <f>R122*72.1%</f>
        <v>16174981.774</v>
      </c>
      <c r="N131" s="7">
        <f>X122*62.8%</f>
        <v>26275413.239999998</v>
      </c>
      <c r="O131" s="119">
        <f t="shared" ref="O131:O133" si="26">SUM(J131:N131)</f>
        <v>57526076.427000001</v>
      </c>
      <c r="P131" s="127"/>
      <c r="Q131" s="127"/>
      <c r="R131" s="88"/>
      <c r="S131" s="88"/>
      <c r="T131" s="88"/>
      <c r="U131" s="54"/>
      <c r="V131" s="54"/>
      <c r="W131" s="54"/>
      <c r="X131" s="88"/>
      <c r="Y131" s="88"/>
    </row>
    <row r="132" spans="1:25" x14ac:dyDescent="0.25">
      <c r="A132" s="274" t="s">
        <v>176</v>
      </c>
      <c r="B132" s="369"/>
      <c r="C132" s="369"/>
      <c r="D132" s="369"/>
      <c r="E132" s="369"/>
      <c r="F132" s="369"/>
      <c r="G132" s="369"/>
      <c r="H132" s="369"/>
      <c r="I132" s="275"/>
      <c r="J132" s="22">
        <f>J118+J119</f>
        <v>700000</v>
      </c>
      <c r="K132" s="22"/>
      <c r="L132" s="22"/>
      <c r="M132" s="35">
        <f>R118+R119</f>
        <v>534700</v>
      </c>
      <c r="N132" s="35">
        <f>X118+X119</f>
        <v>1100000</v>
      </c>
      <c r="O132" s="119">
        <f t="shared" si="26"/>
        <v>2334700</v>
      </c>
      <c r="P132" s="127"/>
      <c r="Q132" s="127"/>
      <c r="R132" s="88"/>
      <c r="S132" s="88"/>
      <c r="T132" s="88"/>
      <c r="U132" s="54"/>
      <c r="V132" s="54"/>
      <c r="W132" s="54"/>
      <c r="X132" s="88"/>
      <c r="Y132" s="88"/>
    </row>
    <row r="133" spans="1:25" x14ac:dyDescent="0.25">
      <c r="A133" s="274" t="s">
        <v>175</v>
      </c>
      <c r="B133" s="369"/>
      <c r="C133" s="369"/>
      <c r="D133" s="369"/>
      <c r="E133" s="369"/>
      <c r="F133" s="369"/>
      <c r="G133" s="369"/>
      <c r="H133" s="369"/>
      <c r="I133" s="275"/>
      <c r="J133" s="35">
        <f>J111+J112+J121</f>
        <v>1045188</v>
      </c>
      <c r="K133" s="35"/>
      <c r="L133" s="35"/>
      <c r="M133" s="35">
        <f>R111+R112+R121</f>
        <v>991193</v>
      </c>
      <c r="N133" s="35">
        <f>X111+X112+X121</f>
        <v>4053958</v>
      </c>
      <c r="O133" s="119">
        <f t="shared" si="26"/>
        <v>6090339</v>
      </c>
      <c r="P133" s="127"/>
      <c r="Q133" s="127"/>
      <c r="R133" s="88"/>
      <c r="S133" s="88"/>
      <c r="T133" s="88"/>
      <c r="U133" s="54"/>
      <c r="V133" s="54"/>
      <c r="W133" s="54"/>
      <c r="X133" s="88"/>
      <c r="Y133" s="88"/>
    </row>
    <row r="134" spans="1:25" x14ac:dyDescent="0.25">
      <c r="A134" s="370" t="s">
        <v>177</v>
      </c>
      <c r="B134" s="371"/>
      <c r="C134" s="371"/>
      <c r="D134" s="371"/>
      <c r="E134" s="371"/>
      <c r="F134" s="371"/>
      <c r="G134" s="371"/>
      <c r="H134" s="371"/>
      <c r="I134" s="372"/>
      <c r="J134" s="114">
        <f>J135+J136+J140+J142+J143</f>
        <v>10967400.586999999</v>
      </c>
      <c r="K134" s="114"/>
      <c r="L134" s="114"/>
      <c r="M134" s="114">
        <f t="shared" ref="M134:N134" si="27">M135+M136+M140+M142+M143</f>
        <v>7418002.2259999998</v>
      </c>
      <c r="N134" s="114">
        <f t="shared" si="27"/>
        <v>25904781.760000005</v>
      </c>
      <c r="O134" s="114">
        <f>SUM(J134:N134)</f>
        <v>44290184.573000006</v>
      </c>
      <c r="P134" s="128"/>
      <c r="Q134" s="128"/>
      <c r="R134" s="88"/>
      <c r="S134" s="88"/>
      <c r="T134" s="88"/>
      <c r="U134" s="54"/>
      <c r="V134" s="54"/>
      <c r="W134" s="54"/>
      <c r="X134" s="88"/>
      <c r="Y134" s="88"/>
    </row>
    <row r="135" spans="1:25" x14ac:dyDescent="0.25">
      <c r="A135" s="373" t="s">
        <v>179</v>
      </c>
      <c r="B135" s="374"/>
      <c r="C135" s="374"/>
      <c r="D135" s="374"/>
      <c r="E135" s="374"/>
      <c r="F135" s="374"/>
      <c r="G135" s="374"/>
      <c r="H135" s="374"/>
      <c r="I135" s="375"/>
      <c r="J135" s="113">
        <f>J122-J131</f>
        <v>8892015.5869999994</v>
      </c>
      <c r="K135" s="113"/>
      <c r="L135" s="113"/>
      <c r="M135" s="113">
        <f>R122-M131</f>
        <v>6259112.2259999998</v>
      </c>
      <c r="N135" s="113">
        <f>X122-N131</f>
        <v>15564416.760000002</v>
      </c>
      <c r="O135" s="113">
        <f t="shared" ref="O135:O136" si="28">SUM(J135:N135)</f>
        <v>30715544.572999999</v>
      </c>
      <c r="P135" s="129"/>
      <c r="Q135" s="129"/>
      <c r="R135" s="88"/>
      <c r="S135" s="88"/>
      <c r="T135" s="88"/>
      <c r="U135" s="54"/>
      <c r="V135" s="54"/>
      <c r="W135" s="54"/>
      <c r="X135" s="88"/>
      <c r="Y135" s="88"/>
    </row>
    <row r="136" spans="1:25" x14ac:dyDescent="0.25">
      <c r="A136" s="274" t="s">
        <v>171</v>
      </c>
      <c r="B136" s="369"/>
      <c r="C136" s="369"/>
      <c r="D136" s="369"/>
      <c r="E136" s="369"/>
      <c r="F136" s="369"/>
      <c r="G136" s="369"/>
      <c r="H136" s="369"/>
      <c r="I136" s="275"/>
      <c r="J136" s="113">
        <f>SUM(J137:J139)</f>
        <v>503408.7</v>
      </c>
      <c r="K136" s="113"/>
      <c r="L136" s="113"/>
      <c r="M136" s="113">
        <f t="shared" ref="M136:N136" si="29">SUM(M137:M139)</f>
        <v>222399.2</v>
      </c>
      <c r="N136" s="113">
        <f t="shared" si="29"/>
        <v>4191354.1</v>
      </c>
      <c r="O136" s="113">
        <f t="shared" si="28"/>
        <v>4917162</v>
      </c>
      <c r="P136" s="129"/>
      <c r="Q136" s="129"/>
      <c r="R136" s="88"/>
      <c r="S136" s="88"/>
      <c r="T136" s="88"/>
      <c r="U136" s="54"/>
      <c r="V136" s="54"/>
      <c r="W136" s="54"/>
      <c r="X136" s="88"/>
      <c r="Y136" s="88"/>
    </row>
    <row r="137" spans="1:25" x14ac:dyDescent="0.25">
      <c r="A137" s="274" t="s">
        <v>172</v>
      </c>
      <c r="B137" s="369"/>
      <c r="C137" s="369"/>
      <c r="D137" s="369"/>
      <c r="E137" s="369"/>
      <c r="F137" s="369"/>
      <c r="G137" s="369"/>
      <c r="H137" s="369"/>
      <c r="I137" s="275"/>
      <c r="J137" s="35">
        <f>19368*90%</f>
        <v>17431.2</v>
      </c>
      <c r="K137" s="35"/>
      <c r="L137" s="35"/>
      <c r="M137" s="35">
        <f>74048*90%</f>
        <v>66643.199999999997</v>
      </c>
      <c r="N137" s="35">
        <f>1230164*90%</f>
        <v>1107147.6000000001</v>
      </c>
      <c r="O137" s="35">
        <f>SUM(J137:N137)</f>
        <v>1191222</v>
      </c>
      <c r="P137" s="107"/>
      <c r="Q137" s="107"/>
      <c r="R137" s="88"/>
      <c r="S137" s="88"/>
      <c r="T137" s="88"/>
      <c r="U137" s="54"/>
      <c r="V137" s="54"/>
      <c r="W137" s="54"/>
      <c r="X137" s="88"/>
      <c r="Y137" s="88"/>
    </row>
    <row r="138" spans="1:25" x14ac:dyDescent="0.25">
      <c r="A138" s="274" t="s">
        <v>173</v>
      </c>
      <c r="B138" s="369"/>
      <c r="C138" s="369"/>
      <c r="D138" s="369"/>
      <c r="E138" s="369"/>
      <c r="F138" s="369"/>
      <c r="G138" s="369"/>
      <c r="H138" s="369"/>
      <c r="I138" s="275"/>
      <c r="J138" s="35">
        <f>835135*50%</f>
        <v>417567.5</v>
      </c>
      <c r="K138" s="35"/>
      <c r="L138" s="35"/>
      <c r="M138" s="35">
        <f>249766*50%</f>
        <v>124883</v>
      </c>
      <c r="N138" s="35">
        <f>3000287*50%</f>
        <v>1500143.5</v>
      </c>
      <c r="O138" s="35">
        <f>SUM(J138:N138)</f>
        <v>2042594</v>
      </c>
      <c r="P138" s="107"/>
      <c r="Q138" s="107"/>
      <c r="R138" s="88"/>
      <c r="S138" s="88"/>
      <c r="T138" s="88"/>
      <c r="U138" s="54"/>
      <c r="V138" s="54"/>
      <c r="W138" s="54"/>
      <c r="X138" s="88"/>
      <c r="Y138" s="88"/>
    </row>
    <row r="139" spans="1:25" x14ac:dyDescent="0.25">
      <c r="A139" s="274" t="s">
        <v>174</v>
      </c>
      <c r="B139" s="369"/>
      <c r="C139" s="369"/>
      <c r="D139" s="369"/>
      <c r="E139" s="369"/>
      <c r="F139" s="369"/>
      <c r="G139" s="369"/>
      <c r="H139" s="369"/>
      <c r="I139" s="275"/>
      <c r="J139" s="35">
        <f>27860+40550</f>
        <v>68410</v>
      </c>
      <c r="K139" s="35"/>
      <c r="L139" s="35"/>
      <c r="M139" s="35">
        <f>12573+18300</f>
        <v>30873</v>
      </c>
      <c r="N139" s="35">
        <f>615217+968846</f>
        <v>1584063</v>
      </c>
      <c r="O139" s="35">
        <f>SUM(J139:N139)</f>
        <v>1683346</v>
      </c>
      <c r="P139" s="107"/>
      <c r="Q139" s="107"/>
      <c r="R139" s="88"/>
      <c r="S139" s="88"/>
      <c r="T139" s="88"/>
      <c r="U139" s="54"/>
      <c r="V139" s="54"/>
      <c r="W139" s="54"/>
      <c r="X139" s="88"/>
      <c r="Y139" s="88"/>
    </row>
    <row r="140" spans="1:25" x14ac:dyDescent="0.25">
      <c r="A140" s="274" t="s">
        <v>180</v>
      </c>
      <c r="B140" s="369"/>
      <c r="C140" s="369"/>
      <c r="D140" s="369"/>
      <c r="E140" s="369"/>
      <c r="F140" s="369"/>
      <c r="G140" s="369"/>
      <c r="H140" s="369"/>
      <c r="I140" s="275"/>
      <c r="J140" s="35">
        <f>J123</f>
        <v>64886</v>
      </c>
      <c r="K140" s="35"/>
      <c r="L140" s="35"/>
      <c r="M140" s="35">
        <f>R123</f>
        <v>128234</v>
      </c>
      <c r="N140" s="35">
        <f>X123</f>
        <v>169331</v>
      </c>
      <c r="O140" s="35">
        <f>SUM(J140:N140)</f>
        <v>362451</v>
      </c>
      <c r="P140" s="107"/>
      <c r="Q140" s="107"/>
      <c r="R140" s="88"/>
      <c r="S140" s="88"/>
      <c r="T140" s="88"/>
      <c r="U140" s="54"/>
      <c r="V140" s="54"/>
      <c r="W140" s="54"/>
      <c r="X140" s="88"/>
      <c r="Y140" s="88"/>
    </row>
    <row r="141" spans="1:25" x14ac:dyDescent="0.25">
      <c r="A141" s="274" t="s">
        <v>181</v>
      </c>
      <c r="B141" s="369"/>
      <c r="C141" s="369"/>
      <c r="D141" s="369"/>
      <c r="E141" s="369"/>
      <c r="F141" s="369"/>
      <c r="G141" s="369"/>
      <c r="H141" s="369"/>
      <c r="I141" s="275"/>
      <c r="J141" s="35"/>
      <c r="K141" s="35"/>
      <c r="L141" s="35"/>
      <c r="M141" s="35"/>
      <c r="N141" s="35"/>
      <c r="O141" s="7"/>
      <c r="P141" s="9"/>
      <c r="Q141" s="9"/>
      <c r="R141" s="88"/>
      <c r="S141" s="88"/>
      <c r="T141" s="88"/>
      <c r="U141" s="54"/>
      <c r="V141" s="54"/>
      <c r="W141" s="54"/>
      <c r="X141" s="88"/>
      <c r="Y141" s="88"/>
    </row>
    <row r="142" spans="1:25" x14ac:dyDescent="0.25">
      <c r="A142" s="364" t="s">
        <v>182</v>
      </c>
      <c r="B142" s="268"/>
      <c r="C142" s="268"/>
      <c r="D142" s="268"/>
      <c r="E142" s="268"/>
      <c r="F142" s="268"/>
      <c r="G142" s="268"/>
      <c r="H142" s="268"/>
      <c r="I142" s="365"/>
      <c r="J142" s="35">
        <f>J114+J115+J117+J120-J136-J143</f>
        <v>1314349.3</v>
      </c>
      <c r="K142" s="35"/>
      <c r="L142" s="35"/>
      <c r="M142" s="35">
        <f>R114-M136+R115+R117+R120-M143</f>
        <v>597993.80000000005</v>
      </c>
      <c r="N142" s="35">
        <f>X114+-N136+X117+X115+X120-N143</f>
        <v>5594925.9000000004</v>
      </c>
      <c r="O142" s="35">
        <f>SUM(J142:N142)</f>
        <v>7507269</v>
      </c>
      <c r="P142" s="107"/>
      <c r="Q142" s="107"/>
      <c r="R142" s="88"/>
      <c r="S142" s="88"/>
      <c r="T142" s="88"/>
      <c r="U142" s="54"/>
      <c r="V142" s="54"/>
      <c r="W142" s="54"/>
      <c r="X142" s="88"/>
      <c r="Y142" s="88"/>
    </row>
    <row r="143" spans="1:25" x14ac:dyDescent="0.25">
      <c r="A143" s="274" t="s">
        <v>175</v>
      </c>
      <c r="B143" s="369"/>
      <c r="C143" s="369"/>
      <c r="D143" s="369"/>
      <c r="E143" s="369"/>
      <c r="F143" s="369"/>
      <c r="G143" s="369"/>
      <c r="H143" s="369"/>
      <c r="I143" s="275"/>
      <c r="J143" s="35">
        <v>192741</v>
      </c>
      <c r="K143" s="35"/>
      <c r="L143" s="35"/>
      <c r="M143" s="35">
        <v>210263</v>
      </c>
      <c r="N143" s="35">
        <v>384754</v>
      </c>
      <c r="O143" s="35">
        <f>SUM(J143:N143)</f>
        <v>787758</v>
      </c>
      <c r="P143" s="107"/>
      <c r="Q143" s="107"/>
      <c r="R143" s="88"/>
      <c r="S143" s="88"/>
      <c r="T143" s="88"/>
      <c r="U143" s="54"/>
      <c r="V143" s="54"/>
      <c r="W143" s="54"/>
      <c r="X143" s="88"/>
      <c r="Y143" s="88"/>
    </row>
    <row r="144" spans="1:25" x14ac:dyDescent="0.25">
      <c r="A144" s="274" t="s">
        <v>183</v>
      </c>
      <c r="B144" s="369"/>
      <c r="C144" s="369"/>
      <c r="D144" s="369"/>
      <c r="E144" s="369"/>
      <c r="F144" s="369"/>
      <c r="G144" s="369"/>
      <c r="H144" s="369"/>
      <c r="I144" s="275"/>
      <c r="J144" s="35">
        <f>J130+J134</f>
        <v>27788270</v>
      </c>
      <c r="K144" s="35"/>
      <c r="L144" s="35"/>
      <c r="M144" s="35">
        <f>M130+M134</f>
        <v>25118877</v>
      </c>
      <c r="N144" s="35">
        <f>N130+N134</f>
        <v>57334153</v>
      </c>
      <c r="O144" s="35">
        <f>SUM(J144:N144)</f>
        <v>110241300</v>
      </c>
      <c r="P144" s="107"/>
      <c r="Q144" s="107"/>
      <c r="R144" s="88"/>
      <c r="S144" s="88"/>
      <c r="T144" s="88"/>
      <c r="U144" s="54"/>
      <c r="V144" s="54"/>
      <c r="W144" s="54"/>
      <c r="X144" s="88"/>
      <c r="Y144" s="88"/>
    </row>
    <row r="145" spans="1:33" x14ac:dyDescent="0.25">
      <c r="A145" s="274" t="s">
        <v>201</v>
      </c>
      <c r="B145" s="369"/>
      <c r="C145" s="369"/>
      <c r="D145" s="369"/>
      <c r="E145" s="369"/>
      <c r="F145" s="369"/>
      <c r="G145" s="369"/>
      <c r="H145" s="369"/>
      <c r="I145" s="275"/>
      <c r="J145" s="35">
        <f>J144/G125</f>
        <v>543.50395086840865</v>
      </c>
      <c r="K145" s="35"/>
      <c r="L145" s="35"/>
      <c r="M145" s="35">
        <f>M144/M125</f>
        <v>80.792512849542945</v>
      </c>
      <c r="N145" s="35">
        <f>N144/U125</f>
        <v>236.19962840287391</v>
      </c>
      <c r="O145" s="7"/>
      <c r="P145" s="9"/>
      <c r="Q145" s="9"/>
      <c r="R145" s="88"/>
      <c r="S145" s="88"/>
      <c r="T145" s="88"/>
      <c r="U145" s="54"/>
      <c r="V145" s="54"/>
      <c r="W145" s="54"/>
      <c r="X145" s="88"/>
      <c r="Y145" s="88"/>
    </row>
    <row r="146" spans="1:33" x14ac:dyDescent="0.25">
      <c r="A146" s="274" t="s">
        <v>202</v>
      </c>
      <c r="B146" s="369"/>
      <c r="C146" s="369"/>
      <c r="D146" s="369"/>
      <c r="E146" s="369"/>
      <c r="F146" s="369"/>
      <c r="G146" s="369"/>
      <c r="H146" s="369"/>
      <c r="I146" s="275"/>
      <c r="J146" s="35">
        <f>J144/G111</f>
        <v>146254.05263157896</v>
      </c>
      <c r="K146" s="35"/>
      <c r="L146" s="35"/>
      <c r="M146" s="35">
        <f>M144/M111</f>
        <v>47304.853107344636</v>
      </c>
      <c r="N146" s="35">
        <f>X124/U111</f>
        <v>101297.09010600706</v>
      </c>
      <c r="O146" s="35"/>
      <c r="P146" s="107"/>
      <c r="Q146" s="107"/>
      <c r="R146" s="88"/>
      <c r="S146" s="88"/>
      <c r="T146" s="88"/>
      <c r="U146" s="54"/>
      <c r="V146" s="54"/>
      <c r="W146" s="54"/>
      <c r="X146" s="88"/>
      <c r="Y146" s="88"/>
    </row>
    <row r="147" spans="1:33" x14ac:dyDescent="0.25">
      <c r="A147" s="10"/>
      <c r="B147" s="10"/>
      <c r="C147" s="10"/>
      <c r="D147" s="10"/>
      <c r="E147" s="10"/>
      <c r="F147" s="10"/>
      <c r="G147" s="10"/>
      <c r="H147" s="10"/>
      <c r="I147" s="10"/>
      <c r="J147" s="107"/>
      <c r="K147" s="107"/>
      <c r="L147" s="107"/>
      <c r="M147" s="107"/>
      <c r="N147" s="107"/>
      <c r="O147" s="107"/>
      <c r="P147" s="107"/>
      <c r="Q147" s="107"/>
      <c r="R147" s="88"/>
      <c r="S147" s="88"/>
      <c r="T147" s="88"/>
      <c r="U147" s="54"/>
      <c r="V147" s="54"/>
      <c r="W147" s="54"/>
      <c r="X147" s="88"/>
      <c r="Y147" s="88"/>
    </row>
    <row r="148" spans="1:33" x14ac:dyDescent="0.25">
      <c r="A148" s="10"/>
      <c r="B148" s="10"/>
      <c r="C148" s="10"/>
      <c r="D148" s="10"/>
      <c r="E148" s="10"/>
      <c r="F148" s="10"/>
      <c r="G148" s="10"/>
      <c r="H148" s="10"/>
      <c r="I148" s="10"/>
      <c r="J148" s="107"/>
      <c r="K148" s="107"/>
      <c r="L148" s="107"/>
      <c r="M148" s="107"/>
      <c r="N148" s="107"/>
      <c r="O148" s="107"/>
      <c r="P148" s="107"/>
      <c r="Q148" s="107"/>
      <c r="R148" s="88"/>
      <c r="S148" s="88"/>
      <c r="T148" s="88"/>
      <c r="U148" s="54"/>
      <c r="V148" s="54"/>
      <c r="W148" s="54"/>
      <c r="X148" s="88"/>
      <c r="Y148" s="88"/>
    </row>
    <row r="149" spans="1:33" x14ac:dyDescent="0.25">
      <c r="A149" s="10"/>
      <c r="B149" s="10"/>
      <c r="C149" s="10"/>
      <c r="D149" s="10"/>
      <c r="E149" s="10"/>
      <c r="F149" s="10"/>
      <c r="G149" s="10"/>
      <c r="H149" s="10"/>
      <c r="I149" s="10"/>
      <c r="J149" s="107"/>
      <c r="K149" s="107"/>
      <c r="L149" s="107"/>
      <c r="M149" s="107"/>
      <c r="N149" s="107"/>
      <c r="O149" s="107"/>
      <c r="P149" s="107"/>
      <c r="Q149" s="107"/>
      <c r="R149" s="88"/>
      <c r="S149" s="88"/>
      <c r="T149" s="88"/>
      <c r="U149" s="54"/>
      <c r="V149" s="54"/>
      <c r="W149" s="54"/>
      <c r="X149" s="88"/>
      <c r="Y149" s="88"/>
    </row>
    <row r="150" spans="1:33" x14ac:dyDescent="0.25">
      <c r="A150" s="10"/>
      <c r="B150" s="10"/>
      <c r="C150" s="10"/>
      <c r="D150" s="10"/>
      <c r="E150" s="10"/>
      <c r="F150" s="10"/>
      <c r="G150" s="10"/>
      <c r="H150" s="10"/>
      <c r="I150" s="10"/>
      <c r="J150" s="107"/>
      <c r="K150" s="107"/>
      <c r="L150" s="107"/>
      <c r="M150" s="107"/>
      <c r="N150" s="107"/>
      <c r="O150" s="107"/>
      <c r="P150" s="107"/>
      <c r="Q150" s="107"/>
      <c r="R150" s="88"/>
      <c r="S150" s="88"/>
      <c r="T150" s="88"/>
      <c r="U150" s="54"/>
      <c r="V150" s="54"/>
      <c r="W150" s="54"/>
      <c r="X150" s="88"/>
      <c r="Y150" s="88"/>
    </row>
    <row r="151" spans="1:33" ht="17.25" customHeight="1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88"/>
      <c r="K151" s="88"/>
      <c r="L151" s="88"/>
      <c r="M151" s="54"/>
      <c r="N151" s="54"/>
      <c r="O151" s="54"/>
      <c r="P151" s="54"/>
      <c r="Q151" s="54"/>
      <c r="R151" s="88"/>
      <c r="S151" s="88"/>
      <c r="T151" s="88"/>
      <c r="U151" s="54"/>
      <c r="V151" s="54"/>
      <c r="W151" s="54"/>
      <c r="X151" s="88"/>
      <c r="Y151" s="1" t="s">
        <v>236</v>
      </c>
      <c r="Z151" s="1"/>
      <c r="AA151" s="1"/>
      <c r="AB151" s="1"/>
    </row>
    <row r="152" spans="1:33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88"/>
      <c r="K152" s="88"/>
      <c r="L152" s="88"/>
      <c r="M152" s="54"/>
      <c r="N152" s="54"/>
      <c r="O152" s="54"/>
      <c r="P152" s="54"/>
      <c r="Q152" s="54"/>
      <c r="R152" s="88"/>
      <c r="S152" s="88"/>
      <c r="T152" s="88"/>
      <c r="U152" s="54"/>
      <c r="V152" s="54"/>
      <c r="W152" s="54"/>
      <c r="X152" s="88"/>
      <c r="Y152" s="1" t="s">
        <v>239</v>
      </c>
      <c r="Z152" s="1"/>
      <c r="AA152" s="1"/>
      <c r="AB152" s="1"/>
    </row>
    <row r="153" spans="1:33" x14ac:dyDescent="0.25">
      <c r="Y153" s="1" t="s">
        <v>233</v>
      </c>
      <c r="Z153" s="1"/>
      <c r="AA153" s="1"/>
      <c r="AB153" s="1"/>
    </row>
    <row r="154" spans="1:33" x14ac:dyDescent="0.25">
      <c r="A154" s="67"/>
      <c r="B154" s="67"/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1" t="s">
        <v>240</v>
      </c>
      <c r="Z154" s="1"/>
      <c r="AA154" s="1"/>
      <c r="AB154" s="1"/>
      <c r="AE154" s="67"/>
      <c r="AF154" s="67"/>
      <c r="AG154" s="67"/>
    </row>
    <row r="155" spans="1:33" ht="33.75" customHeight="1" x14ac:dyDescent="0.25">
      <c r="A155" s="324" t="s">
        <v>4</v>
      </c>
      <c r="B155" s="326" t="s">
        <v>71</v>
      </c>
      <c r="C155" s="327"/>
      <c r="D155" s="328"/>
      <c r="E155" s="290" t="s">
        <v>2</v>
      </c>
      <c r="F155" s="276" t="s">
        <v>123</v>
      </c>
      <c r="G155" s="281" t="s">
        <v>120</v>
      </c>
      <c r="H155" s="281"/>
      <c r="I155" s="281"/>
      <c r="J155" s="281"/>
      <c r="K155" s="47"/>
      <c r="L155" s="47"/>
      <c r="M155" s="281" t="s">
        <v>118</v>
      </c>
      <c r="N155" s="281"/>
      <c r="O155" s="281"/>
      <c r="P155" s="281"/>
      <c r="Q155" s="281"/>
      <c r="R155" s="281"/>
      <c r="S155" s="47"/>
      <c r="T155" s="47"/>
      <c r="U155" s="281" t="s">
        <v>119</v>
      </c>
      <c r="V155" s="281"/>
      <c r="W155" s="281"/>
      <c r="X155" s="281"/>
      <c r="Y155" s="281" t="s">
        <v>129</v>
      </c>
      <c r="Z155" s="281"/>
      <c r="AA155" s="281"/>
      <c r="AB155" s="281"/>
      <c r="AC155" s="281" t="s">
        <v>130</v>
      </c>
      <c r="AD155" s="281"/>
      <c r="AE155" s="281"/>
      <c r="AF155" s="281"/>
      <c r="AG155" s="67"/>
    </row>
    <row r="156" spans="1:33" ht="89.25" x14ac:dyDescent="0.25">
      <c r="A156" s="325"/>
      <c r="B156" s="329"/>
      <c r="C156" s="330"/>
      <c r="D156" s="331"/>
      <c r="E156" s="291"/>
      <c r="F156" s="277"/>
      <c r="G156" s="47" t="s">
        <v>122</v>
      </c>
      <c r="H156" s="47" t="s">
        <v>13</v>
      </c>
      <c r="I156" s="47" t="s">
        <v>14</v>
      </c>
      <c r="J156" s="47" t="s">
        <v>25</v>
      </c>
      <c r="K156" s="47"/>
      <c r="L156" s="47"/>
      <c r="M156" s="47" t="s">
        <v>122</v>
      </c>
      <c r="N156" s="47" t="s">
        <v>116</v>
      </c>
      <c r="O156" s="47" t="s">
        <v>14</v>
      </c>
      <c r="P156" s="47"/>
      <c r="Q156" s="47"/>
      <c r="R156" s="47" t="s">
        <v>25</v>
      </c>
      <c r="S156" s="47"/>
      <c r="T156" s="47"/>
      <c r="U156" s="47" t="s">
        <v>12</v>
      </c>
      <c r="V156" s="47" t="s">
        <v>116</v>
      </c>
      <c r="W156" s="47" t="s">
        <v>3</v>
      </c>
      <c r="X156" s="47" t="s">
        <v>25</v>
      </c>
      <c r="Y156" s="47" t="s">
        <v>121</v>
      </c>
      <c r="Z156" s="47" t="s">
        <v>116</v>
      </c>
      <c r="AA156" s="47" t="s">
        <v>14</v>
      </c>
      <c r="AB156" s="47" t="s">
        <v>25</v>
      </c>
      <c r="AC156" s="47" t="s">
        <v>121</v>
      </c>
      <c r="AD156" s="47" t="s">
        <v>116</v>
      </c>
      <c r="AE156" s="47" t="s">
        <v>3</v>
      </c>
      <c r="AF156" s="47" t="s">
        <v>25</v>
      </c>
      <c r="AG156" s="67"/>
    </row>
    <row r="157" spans="1:33" x14ac:dyDescent="0.25">
      <c r="A157" s="56" t="s">
        <v>8</v>
      </c>
      <c r="B157" s="278" t="s">
        <v>72</v>
      </c>
      <c r="C157" s="279"/>
      <c r="D157" s="280"/>
      <c r="E157" s="68" t="s">
        <v>73</v>
      </c>
      <c r="F157" s="75">
        <v>35000</v>
      </c>
      <c r="G157" s="69">
        <v>7</v>
      </c>
      <c r="H157" s="71">
        <f>F157*G157</f>
        <v>245000</v>
      </c>
      <c r="I157" s="69">
        <v>14</v>
      </c>
      <c r="J157" s="71">
        <f>382720-100000</f>
        <v>282720</v>
      </c>
      <c r="K157" s="71"/>
      <c r="L157" s="71"/>
      <c r="M157" s="74">
        <v>2</v>
      </c>
      <c r="N157" s="75">
        <f>M157*F157</f>
        <v>70000</v>
      </c>
      <c r="O157" s="69">
        <v>13</v>
      </c>
      <c r="P157" s="69"/>
      <c r="Q157" s="69"/>
      <c r="R157" s="71">
        <f>85904-25000</f>
        <v>60904</v>
      </c>
      <c r="S157" s="71"/>
      <c r="T157" s="71"/>
      <c r="U157" s="74">
        <v>1</v>
      </c>
      <c r="V157" s="75">
        <f>U157*F157</f>
        <v>35000</v>
      </c>
      <c r="W157" s="74"/>
      <c r="X157" s="75">
        <f>49504-30000</f>
        <v>19504</v>
      </c>
      <c r="Y157" s="69" t="s">
        <v>131</v>
      </c>
      <c r="Z157" s="69">
        <f>(17*35000)+(3*20000)</f>
        <v>655000</v>
      </c>
      <c r="AA157" s="69"/>
      <c r="AB157" s="69">
        <f>1284820-AB158</f>
        <v>834820</v>
      </c>
      <c r="AC157" s="69">
        <v>2</v>
      </c>
      <c r="AD157" s="69">
        <f>AC157*35000</f>
        <v>70000</v>
      </c>
      <c r="AE157" s="69">
        <v>10</v>
      </c>
      <c r="AF157" s="69">
        <f>163588-AF158</f>
        <v>83588</v>
      </c>
      <c r="AG157" s="67"/>
    </row>
    <row r="158" spans="1:33" x14ac:dyDescent="0.25">
      <c r="A158" s="56" t="s">
        <v>17</v>
      </c>
      <c r="B158" s="278" t="s">
        <v>79</v>
      </c>
      <c r="C158" s="279"/>
      <c r="D158" s="280"/>
      <c r="E158" s="68" t="s">
        <v>73</v>
      </c>
      <c r="F158" s="75">
        <v>1325</v>
      </c>
      <c r="G158" s="69">
        <v>41.25</v>
      </c>
      <c r="H158" s="71">
        <f>F158*G158</f>
        <v>54656.25</v>
      </c>
      <c r="I158" s="69">
        <v>45</v>
      </c>
      <c r="J158" s="71">
        <v>100000</v>
      </c>
      <c r="K158" s="71"/>
      <c r="L158" s="71"/>
      <c r="M158" s="74">
        <v>9.5</v>
      </c>
      <c r="N158" s="75">
        <f>1325*9.5</f>
        <v>12587.5</v>
      </c>
      <c r="O158" s="69"/>
      <c r="P158" s="69"/>
      <c r="Q158" s="69"/>
      <c r="R158" s="71">
        <v>25000</v>
      </c>
      <c r="S158" s="71"/>
      <c r="T158" s="71"/>
      <c r="U158" s="74">
        <v>6</v>
      </c>
      <c r="V158" s="75">
        <f>F158*6</f>
        <v>7950</v>
      </c>
      <c r="W158" s="74"/>
      <c r="X158" s="75">
        <v>30000</v>
      </c>
      <c r="Y158" s="69" t="s">
        <v>132</v>
      </c>
      <c r="Z158" s="69"/>
      <c r="AA158" s="69"/>
      <c r="AB158" s="69">
        <v>450000</v>
      </c>
      <c r="AC158" s="69">
        <v>12</v>
      </c>
      <c r="AD158" s="69"/>
      <c r="AE158" s="69"/>
      <c r="AF158" s="69">
        <v>80000</v>
      </c>
      <c r="AG158" s="67"/>
    </row>
    <row r="159" spans="1:33" x14ac:dyDescent="0.25">
      <c r="A159" s="56" t="s">
        <v>20</v>
      </c>
      <c r="B159" s="350" t="s">
        <v>105</v>
      </c>
      <c r="C159" s="351"/>
      <c r="D159" s="352"/>
      <c r="E159" s="68" t="s">
        <v>73</v>
      </c>
      <c r="F159" s="75"/>
      <c r="G159" s="69"/>
      <c r="H159" s="71"/>
      <c r="I159" s="69"/>
      <c r="J159" s="71"/>
      <c r="K159" s="71"/>
      <c r="L159" s="71"/>
      <c r="M159" s="74"/>
      <c r="N159" s="75"/>
      <c r="O159" s="69"/>
      <c r="P159" s="69"/>
      <c r="Q159" s="69"/>
      <c r="R159" s="71"/>
      <c r="S159" s="71"/>
      <c r="T159" s="71"/>
      <c r="U159" s="74"/>
      <c r="V159" s="75"/>
      <c r="W159" s="74"/>
      <c r="Y159" s="69"/>
      <c r="Z159" s="69"/>
      <c r="AA159" s="69"/>
      <c r="AB159" s="69"/>
      <c r="AC159" s="69"/>
      <c r="AD159" s="69"/>
      <c r="AE159" s="69"/>
      <c r="AF159" s="69"/>
      <c r="AG159" s="67"/>
    </row>
    <row r="160" spans="1:33" x14ac:dyDescent="0.25">
      <c r="A160" s="56" t="s">
        <v>27</v>
      </c>
      <c r="B160" s="295" t="s">
        <v>102</v>
      </c>
      <c r="C160" s="295"/>
      <c r="D160" s="295"/>
      <c r="E160" s="68" t="s">
        <v>73</v>
      </c>
      <c r="F160" s="75"/>
      <c r="G160" s="69"/>
      <c r="H160" s="71"/>
      <c r="I160" s="69"/>
      <c r="J160" s="71">
        <v>971330</v>
      </c>
      <c r="K160" s="71"/>
      <c r="L160" s="71"/>
      <c r="M160" s="74"/>
      <c r="N160" s="75"/>
      <c r="O160" s="69"/>
      <c r="P160" s="69"/>
      <c r="Q160" s="69"/>
      <c r="R160" s="71">
        <v>348890</v>
      </c>
      <c r="S160" s="71"/>
      <c r="T160" s="71"/>
      <c r="U160" s="74"/>
      <c r="V160" s="75"/>
      <c r="W160" s="74"/>
      <c r="X160" s="75">
        <v>271430</v>
      </c>
      <c r="Y160" s="69"/>
      <c r="Z160" s="69"/>
      <c r="AA160" s="69"/>
      <c r="AB160" s="69">
        <v>1461970</v>
      </c>
      <c r="AC160" s="69"/>
      <c r="AD160" s="69"/>
      <c r="AE160" s="69"/>
      <c r="AF160" s="69">
        <v>657790</v>
      </c>
      <c r="AG160" s="67"/>
    </row>
    <row r="161" spans="1:33" x14ac:dyDescent="0.25">
      <c r="A161" s="56" t="s">
        <v>83</v>
      </c>
      <c r="B161" s="295" t="s">
        <v>106</v>
      </c>
      <c r="C161" s="295"/>
      <c r="D161" s="295"/>
      <c r="E161" s="68" t="s">
        <v>73</v>
      </c>
      <c r="F161" s="75">
        <v>250</v>
      </c>
      <c r="G161" s="96">
        <v>1075.7</v>
      </c>
      <c r="H161" s="97">
        <f>G161*F161</f>
        <v>268925</v>
      </c>
      <c r="I161" s="69"/>
      <c r="J161" s="343">
        <v>268652</v>
      </c>
      <c r="K161" s="124"/>
      <c r="L161" s="124"/>
      <c r="M161" s="74">
        <v>381.6</v>
      </c>
      <c r="N161" s="75">
        <f>M161*F161</f>
        <v>95400</v>
      </c>
      <c r="O161" s="69">
        <v>23</v>
      </c>
      <c r="P161" s="77"/>
      <c r="Q161" s="77"/>
      <c r="R161" s="343">
        <v>123134</v>
      </c>
      <c r="S161" s="124"/>
      <c r="T161" s="124"/>
      <c r="U161" s="74">
        <v>262</v>
      </c>
      <c r="V161" s="75">
        <f>U161*F161</f>
        <v>65500</v>
      </c>
      <c r="W161" s="74"/>
      <c r="X161" s="348">
        <v>51419</v>
      </c>
      <c r="Y161" s="69">
        <v>1841.8</v>
      </c>
      <c r="Z161" s="69">
        <v>400</v>
      </c>
      <c r="AA161" s="69"/>
      <c r="AB161" s="69">
        <v>756145</v>
      </c>
      <c r="AC161" s="69"/>
      <c r="AD161" s="69"/>
      <c r="AE161" s="69"/>
      <c r="AF161" s="69">
        <v>179266</v>
      </c>
      <c r="AG161" s="67"/>
    </row>
    <row r="162" spans="1:33" x14ac:dyDescent="0.25">
      <c r="A162" s="56" t="s">
        <v>85</v>
      </c>
      <c r="B162" s="295" t="s">
        <v>109</v>
      </c>
      <c r="C162" s="295"/>
      <c r="D162" s="295"/>
      <c r="E162" s="68" t="s">
        <v>73</v>
      </c>
      <c r="F162" s="75"/>
      <c r="G162" s="69">
        <v>1075.7</v>
      </c>
      <c r="H162" s="97">
        <f>G162*F162</f>
        <v>0</v>
      </c>
      <c r="I162" s="69"/>
      <c r="J162" s="344"/>
      <c r="K162" s="125"/>
      <c r="L162" s="125"/>
      <c r="M162" s="74">
        <v>381.6</v>
      </c>
      <c r="N162" s="75">
        <f>M162*F162</f>
        <v>0</v>
      </c>
      <c r="O162" s="69"/>
      <c r="P162" s="96"/>
      <c r="Q162" s="96"/>
      <c r="R162" s="344"/>
      <c r="S162" s="125"/>
      <c r="T162" s="125"/>
      <c r="U162" s="74">
        <v>262</v>
      </c>
      <c r="V162" s="75">
        <f>U162*F162</f>
        <v>0</v>
      </c>
      <c r="W162" s="74"/>
      <c r="X162" s="349"/>
      <c r="Y162" s="69">
        <v>1841.8</v>
      </c>
      <c r="Z162" s="69">
        <v>400</v>
      </c>
      <c r="AA162" s="69"/>
      <c r="AC162" s="69"/>
      <c r="AD162" s="69"/>
      <c r="AE162" s="69"/>
      <c r="AF162" s="69"/>
      <c r="AG162" s="67"/>
    </row>
    <row r="163" spans="1:33" x14ac:dyDescent="0.25">
      <c r="A163" s="57" t="s">
        <v>87</v>
      </c>
      <c r="B163" s="321" t="s">
        <v>84</v>
      </c>
      <c r="C163" s="322"/>
      <c r="D163" s="323"/>
      <c r="E163" s="98" t="s">
        <v>73</v>
      </c>
      <c r="F163" s="99">
        <v>270</v>
      </c>
      <c r="G163" s="77">
        <v>1075.7</v>
      </c>
      <c r="H163" s="78">
        <f>G163*F163</f>
        <v>290439</v>
      </c>
      <c r="I163" s="77"/>
      <c r="J163" s="78">
        <v>298159</v>
      </c>
      <c r="K163" s="97"/>
      <c r="L163" s="97"/>
      <c r="M163" s="100">
        <v>150</v>
      </c>
      <c r="N163" s="99">
        <f>M162*M163</f>
        <v>57240</v>
      </c>
      <c r="O163" s="77">
        <v>-40</v>
      </c>
      <c r="P163" s="77"/>
      <c r="Q163" s="77"/>
      <c r="R163" s="78">
        <v>32890</v>
      </c>
      <c r="S163" s="78"/>
      <c r="T163" s="78"/>
      <c r="U163" s="101">
        <v>150</v>
      </c>
      <c r="V163" s="99">
        <f>U163*U162</f>
        <v>39300</v>
      </c>
      <c r="W163" s="101"/>
      <c r="X163" s="99">
        <v>62379</v>
      </c>
      <c r="Y163" s="69"/>
      <c r="Z163" s="69">
        <v>700</v>
      </c>
      <c r="AA163" s="69"/>
      <c r="AB163" s="69">
        <v>842537</v>
      </c>
      <c r="AC163" s="69">
        <v>654.20000000000005</v>
      </c>
      <c r="AD163" s="69">
        <v>250</v>
      </c>
      <c r="AE163" s="69"/>
      <c r="AF163" s="69">
        <v>70330</v>
      </c>
      <c r="AG163" s="67"/>
    </row>
    <row r="164" spans="1:33" x14ac:dyDescent="0.25">
      <c r="A164" s="56" t="s">
        <v>89</v>
      </c>
      <c r="B164" s="314" t="s">
        <v>86</v>
      </c>
      <c r="C164" s="315"/>
      <c r="D164" s="316"/>
      <c r="E164" s="98" t="s">
        <v>73</v>
      </c>
      <c r="F164" s="74">
        <v>370</v>
      </c>
      <c r="G164" s="69">
        <v>270</v>
      </c>
      <c r="H164" s="71">
        <f>F164*G164</f>
        <v>99900</v>
      </c>
      <c r="I164" s="69"/>
      <c r="J164" s="75">
        <v>100000</v>
      </c>
      <c r="K164" s="75"/>
      <c r="L164" s="75"/>
      <c r="M164" s="74">
        <v>70</v>
      </c>
      <c r="N164" s="75">
        <f>M164*F164</f>
        <v>25900</v>
      </c>
      <c r="O164" s="74">
        <v>-25</v>
      </c>
      <c r="P164" s="74"/>
      <c r="Q164" s="74"/>
      <c r="R164" s="75">
        <v>20000</v>
      </c>
      <c r="S164" s="75"/>
      <c r="T164" s="75"/>
      <c r="U164" s="74">
        <v>24</v>
      </c>
      <c r="V164" s="75">
        <f>U164*F164</f>
        <v>8880</v>
      </c>
      <c r="W164" s="74"/>
      <c r="X164" s="75">
        <v>20000</v>
      </c>
      <c r="Y164" s="69">
        <v>8160</v>
      </c>
      <c r="Z164" s="69">
        <v>86</v>
      </c>
      <c r="AA164" s="69"/>
      <c r="AB164" s="69">
        <v>359770</v>
      </c>
      <c r="AC164" s="69"/>
      <c r="AD164" s="69"/>
      <c r="AE164" s="69"/>
      <c r="AF164" s="69">
        <v>8000</v>
      </c>
      <c r="AG164" s="67"/>
    </row>
    <row r="165" spans="1:33" x14ac:dyDescent="0.25">
      <c r="A165" s="56" t="s">
        <v>91</v>
      </c>
      <c r="B165" s="314" t="s">
        <v>88</v>
      </c>
      <c r="C165" s="315"/>
      <c r="D165" s="316"/>
      <c r="E165" s="98" t="s">
        <v>73</v>
      </c>
      <c r="F165" s="74">
        <v>370</v>
      </c>
      <c r="G165" s="69">
        <v>1075.7</v>
      </c>
      <c r="H165" s="71">
        <f>700*G165</f>
        <v>752990</v>
      </c>
      <c r="I165" s="69"/>
      <c r="J165" s="75">
        <v>100000</v>
      </c>
      <c r="K165" s="75"/>
      <c r="L165" s="75"/>
      <c r="M165" s="74">
        <v>381.6</v>
      </c>
      <c r="N165" s="75"/>
      <c r="O165" s="74"/>
      <c r="P165" s="74"/>
      <c r="Q165" s="74"/>
      <c r="R165" s="75">
        <v>20000</v>
      </c>
      <c r="S165" s="75"/>
      <c r="T165" s="75"/>
      <c r="U165" s="74">
        <v>262</v>
      </c>
      <c r="V165" s="75">
        <f>U165*200</f>
        <v>52400</v>
      </c>
      <c r="W165" s="74"/>
      <c r="X165" s="75">
        <v>20000</v>
      </c>
      <c r="Y165" s="69"/>
      <c r="Z165" s="69">
        <v>72</v>
      </c>
      <c r="AA165" s="69"/>
      <c r="AB165" s="69">
        <v>525147</v>
      </c>
      <c r="AC165" s="69"/>
      <c r="AD165" s="69"/>
      <c r="AE165" s="69"/>
      <c r="AF165" s="69">
        <v>10000</v>
      </c>
      <c r="AG165" s="67"/>
    </row>
    <row r="166" spans="1:33" x14ac:dyDescent="0.25">
      <c r="A166" s="56" t="s">
        <v>93</v>
      </c>
      <c r="B166" s="292" t="s">
        <v>90</v>
      </c>
      <c r="C166" s="293"/>
      <c r="D166" s="294"/>
      <c r="E166" s="98" t="s">
        <v>73</v>
      </c>
      <c r="F166" s="74"/>
      <c r="G166" s="69"/>
      <c r="H166" s="67"/>
      <c r="I166" s="69"/>
      <c r="J166" s="120">
        <f>33690+17211</f>
        <v>50901</v>
      </c>
      <c r="K166" s="120"/>
      <c r="L166" s="120"/>
      <c r="M166" s="74"/>
      <c r="N166" s="75"/>
      <c r="O166" s="74"/>
      <c r="P166" s="74"/>
      <c r="Q166" s="74"/>
      <c r="R166" s="75">
        <f>432101+12189</f>
        <v>444290</v>
      </c>
      <c r="S166" s="75"/>
      <c r="T166" s="75"/>
      <c r="U166" s="74"/>
      <c r="V166" s="75"/>
      <c r="W166" s="74"/>
      <c r="X166" s="75">
        <v>58072</v>
      </c>
      <c r="Y166" s="69"/>
      <c r="Z166" s="69"/>
      <c r="AA166" s="69"/>
      <c r="AB166" s="69">
        <f>451592+24800</f>
        <v>476392</v>
      </c>
      <c r="AC166" s="69"/>
      <c r="AD166" s="69"/>
      <c r="AE166" s="69"/>
      <c r="AF166" s="69">
        <f>4079+33500</f>
        <v>37579</v>
      </c>
      <c r="AG166" s="67"/>
    </row>
    <row r="167" spans="1:33" x14ac:dyDescent="0.25">
      <c r="A167" s="56">
        <v>11</v>
      </c>
      <c r="B167" s="295" t="s">
        <v>95</v>
      </c>
      <c r="C167" s="295"/>
      <c r="D167" s="295"/>
      <c r="E167" s="98" t="s">
        <v>73</v>
      </c>
      <c r="F167" s="74">
        <v>370</v>
      </c>
      <c r="G167" s="69">
        <v>270</v>
      </c>
      <c r="H167" s="71">
        <f>1150*260</f>
        <v>299000</v>
      </c>
      <c r="I167" s="69"/>
      <c r="J167" s="71">
        <v>100000</v>
      </c>
      <c r="K167" s="71"/>
      <c r="L167" s="71"/>
      <c r="M167" s="74">
        <v>70</v>
      </c>
      <c r="N167" s="75">
        <f>F166:F167*M167</f>
        <v>25900</v>
      </c>
      <c r="O167" s="69">
        <v>-42</v>
      </c>
      <c r="P167" s="69"/>
      <c r="Q167" s="69"/>
      <c r="R167" s="71">
        <f>447101-R166</f>
        <v>2811</v>
      </c>
      <c r="S167" s="71"/>
      <c r="T167" s="71"/>
      <c r="U167" s="74">
        <v>24</v>
      </c>
      <c r="V167" s="75">
        <f>U167*F167</f>
        <v>8880</v>
      </c>
      <c r="W167" s="74"/>
      <c r="X167" s="75">
        <f>73072-X166</f>
        <v>15000</v>
      </c>
      <c r="Y167" s="69"/>
      <c r="Z167" s="69"/>
      <c r="AA167" s="69"/>
      <c r="AB167" s="69">
        <f>586792-AB166</f>
        <v>110400</v>
      </c>
      <c r="AC167" s="69"/>
      <c r="AD167" s="69"/>
      <c r="AE167" s="69"/>
      <c r="AF167" s="69">
        <f>26148-AF166</f>
        <v>-11431</v>
      </c>
      <c r="AG167" s="67"/>
    </row>
    <row r="168" spans="1:33" x14ac:dyDescent="0.25">
      <c r="A168" s="56" t="s">
        <v>100</v>
      </c>
      <c r="B168" s="278" t="s">
        <v>104</v>
      </c>
      <c r="C168" s="279"/>
      <c r="D168" s="280"/>
      <c r="E168" s="98" t="s">
        <v>73</v>
      </c>
      <c r="F168" s="74"/>
      <c r="G168" s="69"/>
      <c r="H168" s="71"/>
      <c r="I168" s="69"/>
      <c r="J168" s="71">
        <f>24319169+3534631</f>
        <v>27853800</v>
      </c>
      <c r="K168" s="71"/>
      <c r="L168" s="71"/>
      <c r="M168" s="74"/>
      <c r="N168" s="75"/>
      <c r="O168" s="69"/>
      <c r="P168" s="69"/>
      <c r="Q168" s="69"/>
      <c r="R168" s="71">
        <f>5061481+998309</f>
        <v>6059790</v>
      </c>
      <c r="S168" s="71"/>
      <c r="T168" s="71"/>
      <c r="U168" s="74"/>
      <c r="V168" s="75"/>
      <c r="W168" s="74"/>
      <c r="X168" s="75">
        <f>3515796+576360</f>
        <v>4092156</v>
      </c>
      <c r="Y168" s="69"/>
      <c r="Z168" s="69"/>
      <c r="AA168" s="69"/>
      <c r="AB168" s="69">
        <f>30601749+2938300</f>
        <v>33540049</v>
      </c>
      <c r="AC168" s="69"/>
      <c r="AD168" s="69"/>
      <c r="AE168" s="69"/>
      <c r="AF168" s="69">
        <f>7884978+1275100+287000</f>
        <v>9447078</v>
      </c>
      <c r="AG168" s="67"/>
    </row>
    <row r="169" spans="1:33" x14ac:dyDescent="0.25">
      <c r="A169" s="56" t="s">
        <v>101</v>
      </c>
      <c r="B169" s="278" t="s">
        <v>111</v>
      </c>
      <c r="C169" s="279"/>
      <c r="D169" s="280"/>
      <c r="E169" s="98" t="s">
        <v>73</v>
      </c>
      <c r="F169" s="75"/>
      <c r="G169" s="69"/>
      <c r="H169" s="71"/>
      <c r="I169" s="69"/>
      <c r="J169" s="71">
        <v>127180</v>
      </c>
      <c r="K169" s="71"/>
      <c r="L169" s="71"/>
      <c r="M169" s="74"/>
      <c r="N169" s="75"/>
      <c r="O169" s="69"/>
      <c r="P169" s="69"/>
      <c r="Q169" s="69"/>
      <c r="R169" s="71">
        <v>95000</v>
      </c>
      <c r="S169" s="71"/>
      <c r="T169" s="71"/>
      <c r="U169" s="74"/>
      <c r="V169" s="75"/>
      <c r="W169" s="74"/>
      <c r="X169" s="75">
        <v>121000</v>
      </c>
      <c r="Y169" s="69"/>
      <c r="Z169" s="69"/>
      <c r="AA169" s="69"/>
      <c r="AB169" s="69">
        <v>685470</v>
      </c>
      <c r="AC169" s="69"/>
      <c r="AD169" s="69"/>
      <c r="AE169" s="69"/>
      <c r="AF169" s="69">
        <v>90000</v>
      </c>
      <c r="AG169" s="67"/>
    </row>
    <row r="170" spans="1:33" x14ac:dyDescent="0.25">
      <c r="A170" s="102"/>
      <c r="B170" s="345" t="s">
        <v>112</v>
      </c>
      <c r="C170" s="346"/>
      <c r="D170" s="347"/>
      <c r="E170" s="80"/>
      <c r="F170" s="81"/>
      <c r="G170" s="80"/>
      <c r="H170" s="81"/>
      <c r="I170" s="80"/>
      <c r="J170" s="81">
        <f>SUM(J157:J169)</f>
        <v>30252742</v>
      </c>
      <c r="K170" s="81"/>
      <c r="L170" s="81"/>
      <c r="M170" s="80"/>
      <c r="N170" s="81"/>
      <c r="O170" s="80"/>
      <c r="P170" s="80"/>
      <c r="Q170" s="80"/>
      <c r="R170" s="81">
        <f>SUM(R157:R169)</f>
        <v>7232709</v>
      </c>
      <c r="S170" s="81"/>
      <c r="T170" s="81"/>
      <c r="U170" s="80"/>
      <c r="V170" s="81"/>
      <c r="W170" s="80"/>
      <c r="X170" s="81">
        <f>SUM(X157:X169)</f>
        <v>4760960</v>
      </c>
      <c r="Y170" s="80"/>
      <c r="Z170" s="80"/>
      <c r="AA170" s="80"/>
      <c r="AB170" s="80">
        <f>SUM(AB157:AB169)</f>
        <v>40042700</v>
      </c>
      <c r="AC170" s="80"/>
      <c r="AD170" s="80"/>
      <c r="AE170" s="80"/>
      <c r="AF170" s="80">
        <f>SUM(AF157:AF169)</f>
        <v>10652200</v>
      </c>
      <c r="AG170" s="67"/>
    </row>
    <row r="171" spans="1:33" x14ac:dyDescent="0.25">
      <c r="A171" s="67"/>
      <c r="B171" s="67"/>
      <c r="C171" s="67" t="s">
        <v>227</v>
      </c>
      <c r="D171" s="67"/>
      <c r="E171" s="67"/>
      <c r="F171" s="67"/>
      <c r="G171" s="67"/>
      <c r="H171" s="67"/>
      <c r="I171" s="67"/>
      <c r="J171" s="97">
        <f>(J164+J167)/260</f>
        <v>769.23076923076928</v>
      </c>
      <c r="K171" s="97"/>
      <c r="L171" s="97"/>
      <c r="M171" s="67">
        <v>70</v>
      </c>
      <c r="N171" s="67"/>
      <c r="O171" s="67"/>
      <c r="P171" s="67"/>
      <c r="Q171" s="67"/>
      <c r="R171" s="97">
        <f>(R164+R167)/M171</f>
        <v>325.87142857142857</v>
      </c>
      <c r="S171" s="97"/>
      <c r="T171" s="97"/>
      <c r="U171" s="67">
        <v>24</v>
      </c>
      <c r="V171" s="97"/>
      <c r="W171" s="67"/>
      <c r="X171" s="97">
        <f>(X164+X167)/U171</f>
        <v>1458.3333333333333</v>
      </c>
      <c r="Y171" s="67">
        <v>74500</v>
      </c>
      <c r="Z171" s="67"/>
      <c r="AA171" s="67"/>
      <c r="AB171" s="97">
        <f>AB170/8160</f>
        <v>4907.1936274509808</v>
      </c>
      <c r="AC171" s="67" t="s">
        <v>133</v>
      </c>
      <c r="AD171" s="67"/>
      <c r="AE171" s="67"/>
      <c r="AF171" s="67"/>
      <c r="AG171" s="67"/>
    </row>
    <row r="172" spans="1:33" x14ac:dyDescent="0.25">
      <c r="A172" s="67"/>
      <c r="B172" s="67"/>
      <c r="C172" s="67" t="s">
        <v>126</v>
      </c>
      <c r="D172" s="67"/>
      <c r="E172" s="67"/>
      <c r="F172" s="67"/>
      <c r="G172" s="67"/>
      <c r="H172" s="67"/>
      <c r="I172" s="67"/>
      <c r="J172" s="97">
        <f>(J161+J163+J165+J160)/1075.7</f>
        <v>1522.8604629543552</v>
      </c>
      <c r="K172" s="97"/>
      <c r="L172" s="97"/>
      <c r="M172" s="67"/>
      <c r="N172" s="67"/>
      <c r="O172" s="67"/>
      <c r="P172" s="67"/>
      <c r="Q172" s="67"/>
      <c r="R172" s="97">
        <f>(R161+R163+R165+R160)/M162</f>
        <v>1375.5607966457021</v>
      </c>
      <c r="S172" s="97"/>
      <c r="T172" s="97"/>
      <c r="U172" s="67"/>
      <c r="V172" s="97"/>
      <c r="W172" s="67"/>
      <c r="X172" s="97">
        <f>(X160+X161+X163+X165)/U171</f>
        <v>16884.5</v>
      </c>
      <c r="Y172" s="67" t="s">
        <v>134</v>
      </c>
      <c r="Z172" s="67"/>
      <c r="AA172" s="67"/>
      <c r="AB172" s="18">
        <f>AB170/Y171</f>
        <v>537.48590604026845</v>
      </c>
      <c r="AC172" s="67"/>
      <c r="AG172" s="67"/>
    </row>
    <row r="173" spans="1:33" x14ac:dyDescent="0.25">
      <c r="A173" s="67"/>
      <c r="B173" s="67"/>
      <c r="C173" s="67" t="s">
        <v>127</v>
      </c>
      <c r="D173" s="67"/>
      <c r="E173" s="67"/>
      <c r="F173" s="67"/>
      <c r="G173" s="67"/>
      <c r="H173" s="67"/>
      <c r="I173" s="67"/>
      <c r="J173" s="97">
        <f>(J157+J158+J168+J169)/41.25</f>
        <v>687604.84848484851</v>
      </c>
      <c r="K173" s="97"/>
      <c r="L173" s="97"/>
      <c r="M173" s="67"/>
      <c r="N173" s="67"/>
      <c r="O173" s="67"/>
      <c r="P173" s="67"/>
      <c r="Q173" s="67"/>
      <c r="R173" s="97">
        <f>(R157+R158+R169+R168)/G158</f>
        <v>151289.55151515151</v>
      </c>
      <c r="S173" s="97"/>
      <c r="T173" s="97"/>
      <c r="U173" s="67"/>
      <c r="V173" s="97"/>
      <c r="W173" s="67"/>
      <c r="X173" s="97">
        <f>(X157+X158+X166+X168+X169)/U158</f>
        <v>720122</v>
      </c>
      <c r="Y173" s="67"/>
      <c r="Z173" s="67"/>
      <c r="AA173" s="67"/>
      <c r="AB173" s="67"/>
      <c r="AC173" s="67" t="s">
        <v>228</v>
      </c>
      <c r="AD173" s="67"/>
      <c r="AE173" s="67"/>
      <c r="AF173" s="67"/>
      <c r="AG173" s="67"/>
    </row>
    <row r="174" spans="1:33" x14ac:dyDescent="0.25">
      <c r="A174" s="67"/>
      <c r="B174" s="67"/>
      <c r="C174" s="67"/>
      <c r="D174" s="67"/>
      <c r="E174" s="67"/>
      <c r="F174" s="67"/>
      <c r="G174" s="67"/>
      <c r="H174" s="67"/>
      <c r="I174" s="67"/>
      <c r="J174" s="67"/>
      <c r="K174" s="67"/>
      <c r="L174" s="67"/>
      <c r="M174" s="67"/>
      <c r="N174" s="67"/>
      <c r="O174" s="67"/>
      <c r="P174" s="67"/>
      <c r="Q174" s="67"/>
      <c r="R174" s="67"/>
      <c r="S174" s="67"/>
      <c r="T174" s="67"/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  <c r="AE174" s="97"/>
      <c r="AF174" s="97">
        <f>AF170/9836</f>
        <v>1082.9808865392436</v>
      </c>
      <c r="AG174" s="97"/>
    </row>
    <row r="175" spans="1:33" x14ac:dyDescent="0.25">
      <c r="A175" s="67"/>
      <c r="B175" s="67"/>
      <c r="C175" s="67" t="s">
        <v>128</v>
      </c>
      <c r="D175" s="67"/>
      <c r="E175" s="67"/>
      <c r="F175" s="67"/>
      <c r="G175" s="67"/>
      <c r="H175" s="67"/>
      <c r="I175" s="67"/>
      <c r="J175" s="97">
        <f>J170/270</f>
        <v>112047.19259259259</v>
      </c>
      <c r="K175" s="97"/>
      <c r="L175" s="97"/>
      <c r="M175" s="97"/>
      <c r="N175" s="97"/>
      <c r="O175" s="97"/>
      <c r="P175" s="97"/>
      <c r="Q175" s="97"/>
      <c r="R175" s="97">
        <f>R170/M167</f>
        <v>103324.41428571429</v>
      </c>
      <c r="S175" s="97"/>
      <c r="T175" s="97"/>
      <c r="U175" s="97"/>
      <c r="V175" s="97"/>
      <c r="W175" s="97"/>
      <c r="X175" s="97">
        <f>X170/24</f>
        <v>198373.33333333334</v>
      </c>
      <c r="Y175" s="67"/>
      <c r="Z175" s="67"/>
      <c r="AA175" s="67"/>
      <c r="AB175" s="67"/>
      <c r="AC175" s="67"/>
      <c r="AD175" s="67"/>
      <c r="AE175" s="67"/>
      <c r="AF175" s="67"/>
      <c r="AG175" s="67"/>
    </row>
    <row r="176" spans="1:33" x14ac:dyDescent="0.25">
      <c r="A176" s="67"/>
      <c r="B176" s="67"/>
      <c r="C176" s="67"/>
      <c r="D176" s="67"/>
      <c r="E176" s="67"/>
      <c r="F176" s="67"/>
      <c r="G176" s="67"/>
      <c r="H176" s="67"/>
      <c r="I176" s="67"/>
      <c r="J176" s="97"/>
      <c r="K176" s="97"/>
      <c r="L176" s="97"/>
      <c r="M176" s="97"/>
      <c r="N176" s="97"/>
      <c r="O176" s="97"/>
      <c r="P176" s="97"/>
      <c r="Q176" s="97"/>
      <c r="R176" s="97"/>
      <c r="S176" s="97"/>
      <c r="T176" s="97"/>
      <c r="U176" s="97"/>
      <c r="V176" s="97"/>
      <c r="W176" s="97"/>
      <c r="X176" s="97"/>
      <c r="Y176" s="67"/>
      <c r="Z176" s="67"/>
      <c r="AA176" s="67"/>
      <c r="AB176" s="67"/>
      <c r="AC176" s="67"/>
      <c r="AD176" s="67"/>
      <c r="AE176" s="67"/>
      <c r="AF176" s="67"/>
      <c r="AG176" s="67"/>
    </row>
    <row r="177" spans="1:24" x14ac:dyDescent="0.25"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</row>
    <row r="178" spans="1:24" x14ac:dyDescent="0.25"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</row>
    <row r="180" spans="1:24" ht="45" x14ac:dyDescent="0.25">
      <c r="A180" s="376" t="s">
        <v>229</v>
      </c>
      <c r="B180" s="377"/>
      <c r="C180" s="377"/>
      <c r="D180" s="377"/>
      <c r="E180" s="377"/>
      <c r="F180" s="377"/>
      <c r="G180" s="377"/>
      <c r="H180" s="377"/>
      <c r="I180" s="378"/>
      <c r="J180" s="4" t="s">
        <v>204</v>
      </c>
      <c r="K180" s="4"/>
      <c r="L180" s="4"/>
      <c r="M180" s="4" t="s">
        <v>205</v>
      </c>
      <c r="N180" s="46" t="s">
        <v>206</v>
      </c>
      <c r="O180" s="46" t="s">
        <v>207</v>
      </c>
      <c r="P180" s="46"/>
      <c r="Q180" s="46"/>
      <c r="R180" s="46" t="s">
        <v>208</v>
      </c>
      <c r="S180" s="46"/>
      <c r="T180" s="46"/>
      <c r="U180" s="4" t="s">
        <v>183</v>
      </c>
    </row>
    <row r="181" spans="1:24" x14ac:dyDescent="0.25">
      <c r="A181" s="376" t="s">
        <v>171</v>
      </c>
      <c r="B181" s="377"/>
      <c r="C181" s="377"/>
      <c r="D181" s="377"/>
      <c r="E181" s="377"/>
      <c r="F181" s="377"/>
      <c r="G181" s="377"/>
      <c r="H181" s="377"/>
      <c r="I181" s="378"/>
      <c r="J181" s="115">
        <f>SUM(J182:J184)</f>
        <v>18035637.399999999</v>
      </c>
      <c r="K181" s="115"/>
      <c r="L181" s="115"/>
      <c r="M181" s="115">
        <f t="shared" ref="M181:R181" si="30">SUM(M182:M184)</f>
        <v>2073907.59</v>
      </c>
      <c r="N181" s="115">
        <f t="shared" si="30"/>
        <v>1810933.0520000001</v>
      </c>
      <c r="O181" s="115">
        <f t="shared" si="30"/>
        <v>29447576.690000001</v>
      </c>
      <c r="P181" s="115"/>
      <c r="Q181" s="115"/>
      <c r="R181" s="115">
        <f t="shared" si="30"/>
        <v>4544154.1140000001</v>
      </c>
      <c r="S181" s="115"/>
      <c r="T181" s="115"/>
      <c r="U181" s="115">
        <f t="shared" ref="U181:U191" si="31">SUM(J181:R181)</f>
        <v>55912208.846000001</v>
      </c>
      <c r="V181" s="31"/>
    </row>
    <row r="182" spans="1:24" x14ac:dyDescent="0.25">
      <c r="A182" s="373" t="s">
        <v>178</v>
      </c>
      <c r="B182" s="374"/>
      <c r="C182" s="374"/>
      <c r="D182" s="374"/>
      <c r="E182" s="374"/>
      <c r="F182" s="374"/>
      <c r="G182" s="374"/>
      <c r="H182" s="374"/>
      <c r="I182" s="375"/>
      <c r="J182" s="7">
        <f>J168*62.3%</f>
        <v>17352917.399999999</v>
      </c>
      <c r="K182" s="7"/>
      <c r="L182" s="7"/>
      <c r="M182" s="7">
        <f>R168*32.1%</f>
        <v>1945192.59</v>
      </c>
      <c r="N182" s="7">
        <f>X168*41.7%</f>
        <v>1706429.0520000001</v>
      </c>
      <c r="O182" s="7">
        <f>AB168*81%</f>
        <v>27167439.690000001</v>
      </c>
      <c r="P182" s="7"/>
      <c r="Q182" s="7"/>
      <c r="R182" s="7">
        <f>AF168*46.3%</f>
        <v>4373997.1140000001</v>
      </c>
      <c r="S182" s="7"/>
      <c r="T182" s="7"/>
      <c r="U182" s="7">
        <f t="shared" si="31"/>
        <v>52545975.846000001</v>
      </c>
    </row>
    <row r="183" spans="1:24" x14ac:dyDescent="0.25">
      <c r="A183" s="274" t="s">
        <v>176</v>
      </c>
      <c r="B183" s="369"/>
      <c r="C183" s="369"/>
      <c r="D183" s="369"/>
      <c r="E183" s="369"/>
      <c r="F183" s="369"/>
      <c r="G183" s="369"/>
      <c r="H183" s="369"/>
      <c r="I183" s="275"/>
      <c r="J183" s="35">
        <f>J164+J165</f>
        <v>200000</v>
      </c>
      <c r="K183" s="35"/>
      <c r="L183" s="35"/>
      <c r="M183" s="35">
        <f>R164+R165</f>
        <v>40000</v>
      </c>
      <c r="N183" s="35">
        <f>X164+X165</f>
        <v>40000</v>
      </c>
      <c r="O183" s="35">
        <f>AB164+AB165</f>
        <v>884917</v>
      </c>
      <c r="P183" s="35"/>
      <c r="Q183" s="35"/>
      <c r="R183" s="35">
        <f>AF164+AF165</f>
        <v>18000</v>
      </c>
      <c r="S183" s="35"/>
      <c r="T183" s="35"/>
      <c r="U183" s="35">
        <f t="shared" si="31"/>
        <v>1182917</v>
      </c>
    </row>
    <row r="184" spans="1:24" x14ac:dyDescent="0.25">
      <c r="A184" s="274" t="s">
        <v>175</v>
      </c>
      <c r="B184" s="369"/>
      <c r="C184" s="369"/>
      <c r="D184" s="369"/>
      <c r="E184" s="369"/>
      <c r="F184" s="369"/>
      <c r="G184" s="369"/>
      <c r="H184" s="369"/>
      <c r="I184" s="275"/>
      <c r="J184" s="35">
        <f>J157+J158+J167</f>
        <v>482720</v>
      </c>
      <c r="K184" s="35"/>
      <c r="L184" s="35"/>
      <c r="M184" s="35">
        <f>R157+R158+R167</f>
        <v>88715</v>
      </c>
      <c r="N184" s="35">
        <f>X157+X158+X167</f>
        <v>64504</v>
      </c>
      <c r="O184" s="35">
        <f>AB157+AB158+AB167</f>
        <v>1395220</v>
      </c>
      <c r="P184" s="35"/>
      <c r="Q184" s="35"/>
      <c r="R184" s="35">
        <f>AF157+AF158+AF167</f>
        <v>152157</v>
      </c>
      <c r="S184" s="35"/>
      <c r="T184" s="35"/>
      <c r="U184" s="35">
        <f t="shared" si="31"/>
        <v>2183316</v>
      </c>
    </row>
    <row r="185" spans="1:24" x14ac:dyDescent="0.25">
      <c r="A185" s="370" t="s">
        <v>177</v>
      </c>
      <c r="B185" s="371"/>
      <c r="C185" s="371"/>
      <c r="D185" s="371"/>
      <c r="E185" s="371"/>
      <c r="F185" s="371"/>
      <c r="G185" s="371"/>
      <c r="H185" s="371"/>
      <c r="I185" s="372"/>
      <c r="J185" s="114">
        <f>J186+J187+J191+J193+J194</f>
        <v>12217104.600000001</v>
      </c>
      <c r="K185" s="114"/>
      <c r="L185" s="114"/>
      <c r="M185" s="114">
        <f t="shared" ref="M185:R185" si="32">M186+M187+M191+M193+M194</f>
        <v>5158801.41</v>
      </c>
      <c r="N185" s="114">
        <f>N186+N187+N191+N193+N194</f>
        <v>2950026.9479999999</v>
      </c>
      <c r="O185" s="114">
        <f t="shared" si="32"/>
        <v>10595123.309999999</v>
      </c>
      <c r="P185" s="114"/>
      <c r="Q185" s="114"/>
      <c r="R185" s="114">
        <f t="shared" si="32"/>
        <v>6108045.8859999999</v>
      </c>
      <c r="S185" s="114"/>
      <c r="T185" s="114"/>
      <c r="U185" s="114">
        <f t="shared" si="31"/>
        <v>37029102.153999999</v>
      </c>
    </row>
    <row r="186" spans="1:24" x14ac:dyDescent="0.25">
      <c r="A186" s="373" t="s">
        <v>179</v>
      </c>
      <c r="B186" s="374"/>
      <c r="C186" s="374"/>
      <c r="D186" s="374"/>
      <c r="E186" s="374"/>
      <c r="F186" s="374"/>
      <c r="G186" s="374"/>
      <c r="H186" s="374"/>
      <c r="I186" s="375"/>
      <c r="J186" s="113">
        <f>J168-J182</f>
        <v>10500882.600000001</v>
      </c>
      <c r="K186" s="113"/>
      <c r="L186" s="113"/>
      <c r="M186" s="113">
        <f>R168-M182</f>
        <v>4114597.41</v>
      </c>
      <c r="N186" s="113">
        <f>X168-N182</f>
        <v>2385726.9479999999</v>
      </c>
      <c r="O186" s="113">
        <f>AB168-O182</f>
        <v>6372609.3099999987</v>
      </c>
      <c r="P186" s="113"/>
      <c r="Q186" s="113"/>
      <c r="R186" s="113">
        <f>AF168-R182</f>
        <v>5073080.8859999999</v>
      </c>
      <c r="S186" s="113"/>
      <c r="T186" s="113"/>
      <c r="U186" s="113">
        <f t="shared" si="31"/>
        <v>28446897.153999999</v>
      </c>
    </row>
    <row r="187" spans="1:24" x14ac:dyDescent="0.25">
      <c r="A187" s="274" t="s">
        <v>171</v>
      </c>
      <c r="B187" s="369"/>
      <c r="C187" s="369"/>
      <c r="D187" s="369"/>
      <c r="E187" s="369"/>
      <c r="F187" s="369"/>
      <c r="G187" s="369"/>
      <c r="H187" s="369"/>
      <c r="I187" s="275"/>
      <c r="J187" s="113">
        <f>SUM(J188:J190)</f>
        <v>806810.2</v>
      </c>
      <c r="K187" s="113"/>
      <c r="L187" s="113"/>
      <c r="M187" s="113">
        <f t="shared" ref="M187:R187" si="33">SUM(M188:M190)</f>
        <v>217341.9</v>
      </c>
      <c r="N187" s="113">
        <f t="shared" si="33"/>
        <v>296001</v>
      </c>
      <c r="O187" s="113">
        <f t="shared" si="33"/>
        <v>800419.9</v>
      </c>
      <c r="P187" s="113"/>
      <c r="Q187" s="113"/>
      <c r="R187" s="113">
        <f t="shared" si="33"/>
        <v>377829.5</v>
      </c>
      <c r="S187" s="113"/>
      <c r="T187" s="113"/>
      <c r="U187" s="113">
        <f t="shared" si="31"/>
        <v>2498402.5</v>
      </c>
      <c r="V187" s="31"/>
    </row>
    <row r="188" spans="1:24" x14ac:dyDescent="0.25">
      <c r="A188" s="274" t="s">
        <v>172</v>
      </c>
      <c r="B188" s="369"/>
      <c r="C188" s="369"/>
      <c r="D188" s="369"/>
      <c r="E188" s="369"/>
      <c r="F188" s="369"/>
      <c r="G188" s="369"/>
      <c r="H188" s="369"/>
      <c r="I188" s="275"/>
      <c r="J188" s="35">
        <f>152523*90%</f>
        <v>137270.70000000001</v>
      </c>
      <c r="K188" s="35"/>
      <c r="L188" s="35"/>
      <c r="M188" s="35">
        <f>57581*90%</f>
        <v>51822.9</v>
      </c>
      <c r="N188" s="35">
        <f>20535*90%</f>
        <v>18481.5</v>
      </c>
      <c r="O188" s="35">
        <f>163486*90%</f>
        <v>147137.4</v>
      </c>
      <c r="P188" s="35"/>
      <c r="Q188" s="35"/>
      <c r="R188" s="35">
        <f>54140*90%</f>
        <v>48726</v>
      </c>
      <c r="S188" s="35"/>
      <c r="T188" s="35"/>
      <c r="U188" s="35">
        <f t="shared" si="31"/>
        <v>403438.5</v>
      </c>
    </row>
    <row r="189" spans="1:24" x14ac:dyDescent="0.25">
      <c r="A189" s="274" t="s">
        <v>173</v>
      </c>
      <c r="B189" s="369"/>
      <c r="C189" s="369"/>
      <c r="D189" s="369"/>
      <c r="E189" s="369"/>
      <c r="F189" s="369"/>
      <c r="G189" s="369"/>
      <c r="H189" s="369"/>
      <c r="I189" s="275"/>
      <c r="J189" s="35">
        <f>1122969*50%</f>
        <v>561484.5</v>
      </c>
      <c r="K189" s="35"/>
      <c r="L189" s="35"/>
      <c r="M189" s="35">
        <f>294552*50%</f>
        <v>147276</v>
      </c>
      <c r="N189" s="35">
        <f>546753*50%</f>
        <v>273376.5</v>
      </c>
      <c r="O189" s="35">
        <f>1290405*50%</f>
        <v>645202.5</v>
      </c>
      <c r="P189" s="35"/>
      <c r="Q189" s="35"/>
      <c r="R189" s="35">
        <f>609093*50%</f>
        <v>304546.5</v>
      </c>
      <c r="S189" s="35"/>
      <c r="T189" s="35"/>
      <c r="U189" s="35">
        <f t="shared" si="31"/>
        <v>1931886</v>
      </c>
    </row>
    <row r="190" spans="1:24" x14ac:dyDescent="0.25">
      <c r="A190" s="274" t="s">
        <v>174</v>
      </c>
      <c r="B190" s="369"/>
      <c r="C190" s="369"/>
      <c r="D190" s="369"/>
      <c r="E190" s="369"/>
      <c r="F190" s="369"/>
      <c r="G190" s="369"/>
      <c r="H190" s="369"/>
      <c r="I190" s="275"/>
      <c r="J190" s="35">
        <f>44005+64050</f>
        <v>108055</v>
      </c>
      <c r="K190" s="35"/>
      <c r="L190" s="35"/>
      <c r="M190" s="35">
        <f>7429+10814</f>
        <v>18243</v>
      </c>
      <c r="N190" s="35">
        <v>4143</v>
      </c>
      <c r="O190" s="35">
        <f>3714+4366</f>
        <v>8080</v>
      </c>
      <c r="P190" s="35"/>
      <c r="Q190" s="35"/>
      <c r="R190" s="35">
        <f>10001+14556</f>
        <v>24557</v>
      </c>
      <c r="S190" s="35"/>
      <c r="T190" s="35"/>
      <c r="U190" s="35">
        <f t="shared" si="31"/>
        <v>163078</v>
      </c>
    </row>
    <row r="191" spans="1:24" x14ac:dyDescent="0.25">
      <c r="A191" s="274" t="s">
        <v>180</v>
      </c>
      <c r="B191" s="369"/>
      <c r="C191" s="369"/>
      <c r="D191" s="369"/>
      <c r="E191" s="369"/>
      <c r="F191" s="369"/>
      <c r="G191" s="369"/>
      <c r="H191" s="369"/>
      <c r="I191" s="275"/>
      <c r="J191" s="35">
        <f>J169</f>
        <v>127180</v>
      </c>
      <c r="K191" s="35"/>
      <c r="L191" s="35"/>
      <c r="M191" s="35">
        <f>R169</f>
        <v>95000</v>
      </c>
      <c r="N191" s="35">
        <f>X169</f>
        <v>121000</v>
      </c>
      <c r="O191" s="35">
        <f>AB169</f>
        <v>685470</v>
      </c>
      <c r="P191" s="35"/>
      <c r="Q191" s="35"/>
      <c r="R191" s="35">
        <f>AF169</f>
        <v>90000</v>
      </c>
      <c r="S191" s="35"/>
      <c r="T191" s="35"/>
      <c r="U191" s="35">
        <f t="shared" si="31"/>
        <v>1118650</v>
      </c>
    </row>
    <row r="192" spans="1:24" x14ac:dyDescent="0.25">
      <c r="A192" s="274" t="s">
        <v>181</v>
      </c>
      <c r="B192" s="369"/>
      <c r="C192" s="369"/>
      <c r="D192" s="369"/>
      <c r="E192" s="369"/>
      <c r="F192" s="369"/>
      <c r="G192" s="369"/>
      <c r="H192" s="369"/>
      <c r="I192" s="27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7"/>
    </row>
    <row r="193" spans="1:22" x14ac:dyDescent="0.25">
      <c r="A193" s="364" t="s">
        <v>182</v>
      </c>
      <c r="B193" s="268"/>
      <c r="C193" s="268"/>
      <c r="D193" s="268"/>
      <c r="E193" s="268"/>
      <c r="F193" s="268"/>
      <c r="G193" s="268"/>
      <c r="H193" s="268"/>
      <c r="I193" s="365"/>
      <c r="J193" s="35">
        <f>J160-J187+J161+J163+J166-J194</f>
        <v>536924.80000000005</v>
      </c>
      <c r="K193" s="35"/>
      <c r="L193" s="35"/>
      <c r="M193" s="35">
        <f>R160-M187+R161+R163+R166-M194</f>
        <v>701423.1</v>
      </c>
      <c r="N193" s="35">
        <f>X160+X161+X163+X166-N187-N194</f>
        <v>112255</v>
      </c>
      <c r="O193" s="35">
        <f>AB160-O187+AB161+AB163+AB166-O194</f>
        <v>2613870.1</v>
      </c>
      <c r="P193" s="35"/>
      <c r="Q193" s="35"/>
      <c r="R193" s="35">
        <f>AF160-R187+AF161+AF163+AF166-36400</f>
        <v>530735.5</v>
      </c>
      <c r="S193" s="35"/>
      <c r="T193" s="35"/>
      <c r="U193" s="35">
        <f>SUM(J193:R193)</f>
        <v>4495208.5</v>
      </c>
    </row>
    <row r="194" spans="1:22" x14ac:dyDescent="0.25">
      <c r="A194" s="274" t="s">
        <v>175</v>
      </c>
      <c r="B194" s="369"/>
      <c r="C194" s="369"/>
      <c r="D194" s="369"/>
      <c r="E194" s="369"/>
      <c r="F194" s="369"/>
      <c r="G194" s="369"/>
      <c r="H194" s="369"/>
      <c r="I194" s="275"/>
      <c r="J194" s="35">
        <v>245307</v>
      </c>
      <c r="K194" s="35"/>
      <c r="L194" s="35"/>
      <c r="M194" s="35">
        <v>30439</v>
      </c>
      <c r="N194" s="35">
        <v>35044</v>
      </c>
      <c r="O194" s="35">
        <v>122754</v>
      </c>
      <c r="P194" s="35"/>
      <c r="Q194" s="35"/>
      <c r="R194" s="35">
        <v>36400</v>
      </c>
      <c r="S194" s="35"/>
      <c r="T194" s="35"/>
      <c r="U194" s="35">
        <f>SUM(J194:R194)</f>
        <v>469944</v>
      </c>
    </row>
    <row r="195" spans="1:22" x14ac:dyDescent="0.25">
      <c r="A195" s="382" t="s">
        <v>183</v>
      </c>
      <c r="B195" s="383"/>
      <c r="C195" s="383"/>
      <c r="D195" s="383"/>
      <c r="E195" s="383"/>
      <c r="F195" s="383"/>
      <c r="G195" s="383"/>
      <c r="H195" s="383"/>
      <c r="I195" s="384"/>
      <c r="J195" s="114">
        <f>J181+J185</f>
        <v>30252742</v>
      </c>
      <c r="K195" s="114"/>
      <c r="L195" s="114"/>
      <c r="M195" s="114">
        <f>M181+M185</f>
        <v>7232709</v>
      </c>
      <c r="N195" s="114">
        <f>N181+N185</f>
        <v>4760960</v>
      </c>
      <c r="O195" s="114">
        <f>O181+O185</f>
        <v>40042700</v>
      </c>
      <c r="P195" s="114"/>
      <c r="Q195" s="114"/>
      <c r="R195" s="114">
        <f>R181+R185</f>
        <v>10652200</v>
      </c>
      <c r="S195" s="114"/>
      <c r="T195" s="114"/>
      <c r="U195" s="114">
        <f>SUM(J195:R195)</f>
        <v>92941311</v>
      </c>
      <c r="V195" s="18"/>
    </row>
    <row r="196" spans="1:22" x14ac:dyDescent="0.25">
      <c r="A196" s="274" t="s">
        <v>209</v>
      </c>
      <c r="B196" s="369"/>
      <c r="C196" s="369"/>
      <c r="D196" s="369"/>
      <c r="E196" s="369"/>
      <c r="F196" s="369"/>
      <c r="G196" s="369"/>
      <c r="H196" s="369"/>
      <c r="I196" s="275"/>
      <c r="J196" s="35">
        <f>J195/270</f>
        <v>112047.19259259259</v>
      </c>
      <c r="K196" s="35"/>
      <c r="L196" s="35"/>
      <c r="M196" s="35">
        <f>M195/70</f>
        <v>103324.41428571429</v>
      </c>
      <c r="N196" s="35">
        <f>N195/24</f>
        <v>198373.33333333334</v>
      </c>
      <c r="O196" s="9"/>
      <c r="P196" s="9"/>
      <c r="Q196" s="9"/>
      <c r="R196" s="35"/>
      <c r="S196" s="35"/>
      <c r="T196" s="35"/>
      <c r="U196" s="7"/>
    </row>
    <row r="197" spans="1:22" x14ac:dyDescent="0.25">
      <c r="A197" s="274" t="s">
        <v>210</v>
      </c>
      <c r="B197" s="369"/>
      <c r="C197" s="369"/>
      <c r="D197" s="369"/>
      <c r="E197" s="369"/>
      <c r="F197" s="369"/>
      <c r="G197" s="369"/>
      <c r="H197" s="369"/>
      <c r="I197" s="275"/>
      <c r="J197" s="7"/>
      <c r="K197" s="7"/>
      <c r="L197" s="7"/>
      <c r="M197" s="7"/>
      <c r="N197" s="7"/>
      <c r="O197" s="35">
        <f>O195/74500</f>
        <v>537.48590604026845</v>
      </c>
      <c r="P197" s="35"/>
      <c r="Q197" s="35"/>
      <c r="R197" s="7"/>
      <c r="S197" s="7"/>
      <c r="T197" s="7"/>
      <c r="U197" s="7"/>
      <c r="V197" s="31"/>
    </row>
    <row r="198" spans="1:22" x14ac:dyDescent="0.25">
      <c r="A198" s="274" t="s">
        <v>230</v>
      </c>
      <c r="B198" s="369"/>
      <c r="C198" s="369"/>
      <c r="D198" s="369"/>
      <c r="E198" s="369"/>
      <c r="F198" s="369"/>
      <c r="G198" s="369"/>
      <c r="H198" s="369"/>
      <c r="I198" s="275"/>
      <c r="J198" s="7"/>
      <c r="K198" s="7"/>
      <c r="L198" s="7"/>
      <c r="M198" s="7"/>
      <c r="N198" s="7"/>
      <c r="O198" s="7"/>
      <c r="P198" s="7"/>
      <c r="Q198" s="7"/>
      <c r="R198" s="35">
        <f>R195/9836</f>
        <v>1082.9808865392436</v>
      </c>
      <c r="S198" s="35"/>
      <c r="T198" s="35"/>
      <c r="U198" s="7"/>
    </row>
  </sheetData>
  <mergeCells count="183">
    <mergeCell ref="U5:X5"/>
    <mergeCell ref="Y5:AB5"/>
    <mergeCell ref="AC5:AF5"/>
    <mergeCell ref="AG5:AG6"/>
    <mergeCell ref="B7:D7"/>
    <mergeCell ref="B8:D8"/>
    <mergeCell ref="A5:A6"/>
    <mergeCell ref="B5:D6"/>
    <mergeCell ref="E5:E6"/>
    <mergeCell ref="F5:F6"/>
    <mergeCell ref="G5:J5"/>
    <mergeCell ref="M5:R5"/>
    <mergeCell ref="B15:D15"/>
    <mergeCell ref="B16:D16"/>
    <mergeCell ref="B17:D17"/>
    <mergeCell ref="B18:D18"/>
    <mergeCell ref="B19:D19"/>
    <mergeCell ref="B20:D20"/>
    <mergeCell ref="B9:D9"/>
    <mergeCell ref="B10:D10"/>
    <mergeCell ref="B11:D11"/>
    <mergeCell ref="B12:D12"/>
    <mergeCell ref="B13:D13"/>
    <mergeCell ref="B14:D14"/>
    <mergeCell ref="A30:I30"/>
    <mergeCell ref="A31:I31"/>
    <mergeCell ref="A32:I32"/>
    <mergeCell ref="A34:I34"/>
    <mergeCell ref="A35:I35"/>
    <mergeCell ref="A36:I36"/>
    <mergeCell ref="A21:D21"/>
    <mergeCell ref="A25:I25"/>
    <mergeCell ref="A26:I26"/>
    <mergeCell ref="A27:I27"/>
    <mergeCell ref="A28:I28"/>
    <mergeCell ref="A29:I29"/>
    <mergeCell ref="M66:R66"/>
    <mergeCell ref="U66:X66"/>
    <mergeCell ref="Y66:AB66"/>
    <mergeCell ref="AC66:AF66"/>
    <mergeCell ref="AG66:AG67"/>
    <mergeCell ref="B68:D68"/>
    <mergeCell ref="A37:I37"/>
    <mergeCell ref="A38:I39"/>
    <mergeCell ref="A40:I40"/>
    <mergeCell ref="A41:I41"/>
    <mergeCell ref="A42:I42"/>
    <mergeCell ref="A66:A67"/>
    <mergeCell ref="B66:D67"/>
    <mergeCell ref="E66:E67"/>
    <mergeCell ref="F66:F67"/>
    <mergeCell ref="G66:J66"/>
    <mergeCell ref="W70:W71"/>
    <mergeCell ref="X70:X71"/>
    <mergeCell ref="AA70:AA71"/>
    <mergeCell ref="AB70:AB71"/>
    <mergeCell ref="AE70:AE71"/>
    <mergeCell ref="AF70:AF71"/>
    <mergeCell ref="B69:D69"/>
    <mergeCell ref="B70:D70"/>
    <mergeCell ref="I70:I71"/>
    <mergeCell ref="J70:J71"/>
    <mergeCell ref="O70:O71"/>
    <mergeCell ref="R70:R71"/>
    <mergeCell ref="B71:D71"/>
    <mergeCell ref="B78:D78"/>
    <mergeCell ref="B79:D79"/>
    <mergeCell ref="B80:D80"/>
    <mergeCell ref="A81:D81"/>
    <mergeCell ref="A84:I84"/>
    <mergeCell ref="A85:I85"/>
    <mergeCell ref="B72:D72"/>
    <mergeCell ref="B73:D73"/>
    <mergeCell ref="B74:D74"/>
    <mergeCell ref="B75:D75"/>
    <mergeCell ref="B76:D76"/>
    <mergeCell ref="B77:D77"/>
    <mergeCell ref="A92:I92"/>
    <mergeCell ref="A93:I93"/>
    <mergeCell ref="A94:I94"/>
    <mergeCell ref="A95:I95"/>
    <mergeCell ref="A96:I96"/>
    <mergeCell ref="A97:I97"/>
    <mergeCell ref="A86:I86"/>
    <mergeCell ref="A87:I87"/>
    <mergeCell ref="A88:I88"/>
    <mergeCell ref="A89:I89"/>
    <mergeCell ref="A90:I90"/>
    <mergeCell ref="A91:I91"/>
    <mergeCell ref="M109:R109"/>
    <mergeCell ref="U109:X109"/>
    <mergeCell ref="Y109:Y110"/>
    <mergeCell ref="B111:D111"/>
    <mergeCell ref="B112:D112"/>
    <mergeCell ref="B113:D113"/>
    <mergeCell ref="A98:I98"/>
    <mergeCell ref="A99:I99"/>
    <mergeCell ref="A100:I100"/>
    <mergeCell ref="A109:A110"/>
    <mergeCell ref="B109:D110"/>
    <mergeCell ref="E109:E110"/>
    <mergeCell ref="F109:F110"/>
    <mergeCell ref="G109:J109"/>
    <mergeCell ref="B120:D120"/>
    <mergeCell ref="B121:D121"/>
    <mergeCell ref="B122:D122"/>
    <mergeCell ref="B123:D123"/>
    <mergeCell ref="B124:D124"/>
    <mergeCell ref="A129:I129"/>
    <mergeCell ref="B114:D114"/>
    <mergeCell ref="B115:D115"/>
    <mergeCell ref="B116:D116"/>
    <mergeCell ref="B117:D117"/>
    <mergeCell ref="B118:D118"/>
    <mergeCell ref="B119:D119"/>
    <mergeCell ref="A136:I136"/>
    <mergeCell ref="A137:I137"/>
    <mergeCell ref="A138:I138"/>
    <mergeCell ref="A139:I139"/>
    <mergeCell ref="A140:I140"/>
    <mergeCell ref="A141:I141"/>
    <mergeCell ref="A130:I130"/>
    <mergeCell ref="A131:I131"/>
    <mergeCell ref="A132:I132"/>
    <mergeCell ref="A133:I133"/>
    <mergeCell ref="A134:I134"/>
    <mergeCell ref="A135:I135"/>
    <mergeCell ref="Y155:AB155"/>
    <mergeCell ref="AC155:AF155"/>
    <mergeCell ref="B157:D157"/>
    <mergeCell ref="B158:D158"/>
    <mergeCell ref="A142:I142"/>
    <mergeCell ref="A143:I143"/>
    <mergeCell ref="A144:I144"/>
    <mergeCell ref="A145:I145"/>
    <mergeCell ref="A146:I146"/>
    <mergeCell ref="A155:A156"/>
    <mergeCell ref="B155:D156"/>
    <mergeCell ref="E155:E156"/>
    <mergeCell ref="F155:F156"/>
    <mergeCell ref="G155:J155"/>
    <mergeCell ref="B159:D159"/>
    <mergeCell ref="B160:D160"/>
    <mergeCell ref="B161:D161"/>
    <mergeCell ref="J161:J162"/>
    <mergeCell ref="R161:R162"/>
    <mergeCell ref="X161:X162"/>
    <mergeCell ref="B162:D162"/>
    <mergeCell ref="M155:R155"/>
    <mergeCell ref="U155:X155"/>
    <mergeCell ref="A181:I181"/>
    <mergeCell ref="A182:I182"/>
    <mergeCell ref="A183:I183"/>
    <mergeCell ref="B163:D163"/>
    <mergeCell ref="B164:D164"/>
    <mergeCell ref="B165:D165"/>
    <mergeCell ref="B166:D166"/>
    <mergeCell ref="B167:D167"/>
    <mergeCell ref="B168:D168"/>
    <mergeCell ref="A196:I196"/>
    <mergeCell ref="A197:I197"/>
    <mergeCell ref="A198:I198"/>
    <mergeCell ref="B45:C45"/>
    <mergeCell ref="B46:C46"/>
    <mergeCell ref="B47:C47"/>
    <mergeCell ref="B48:C48"/>
    <mergeCell ref="B49:C49"/>
    <mergeCell ref="B50:C50"/>
    <mergeCell ref="A190:I190"/>
    <mergeCell ref="A191:I191"/>
    <mergeCell ref="A192:I192"/>
    <mergeCell ref="A193:I193"/>
    <mergeCell ref="A194:I194"/>
    <mergeCell ref="A195:I195"/>
    <mergeCell ref="A184:I184"/>
    <mergeCell ref="A185:I185"/>
    <mergeCell ref="A186:I186"/>
    <mergeCell ref="A187:I187"/>
    <mergeCell ref="A188:I188"/>
    <mergeCell ref="A189:I189"/>
    <mergeCell ref="B169:D169"/>
    <mergeCell ref="B170:D170"/>
    <mergeCell ref="A180:I180"/>
  </mergeCells>
  <pageMargins left="0.70866141732283472" right="0.70866141732283472" top="0.74803149606299213" bottom="0.74803149606299213" header="0.31496062992125984" footer="0.31496062992125984"/>
  <pageSetup paperSize="9" scale="39" fitToHeight="0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B204"/>
  <sheetViews>
    <sheetView showGridLines="0" topLeftCell="A77" workbookViewId="0">
      <selection activeCell="A94" sqref="A94:T132"/>
    </sheetView>
  </sheetViews>
  <sheetFormatPr defaultRowHeight="15" x14ac:dyDescent="0.25"/>
  <cols>
    <col min="1" max="1" width="5" customWidth="1"/>
    <col min="4" max="4" width="6.5703125" customWidth="1"/>
    <col min="6" max="6" width="8.5703125" customWidth="1"/>
    <col min="7" max="7" width="5.85546875" customWidth="1"/>
    <col min="8" max="8" width="12.28515625" customWidth="1"/>
    <col min="9" max="9" width="4.5703125" customWidth="1"/>
    <col min="10" max="10" width="12.28515625" customWidth="1"/>
    <col min="11" max="11" width="10.85546875" customWidth="1"/>
    <col min="12" max="12" width="11.28515625" customWidth="1"/>
    <col min="13" max="13" width="13.5703125" customWidth="1"/>
    <col min="14" max="14" width="12.85546875" customWidth="1"/>
    <col min="15" max="15" width="10.7109375" customWidth="1"/>
    <col min="16" max="16" width="16" customWidth="1"/>
    <col min="17" max="17" width="10.85546875" customWidth="1"/>
    <col min="18" max="18" width="12.85546875" customWidth="1"/>
    <col min="19" max="19" width="12.7109375" customWidth="1"/>
    <col min="20" max="20" width="12" customWidth="1"/>
    <col min="21" max="21" width="11.5703125" customWidth="1"/>
    <col min="22" max="22" width="13.7109375" customWidth="1"/>
    <col min="23" max="23" width="5.28515625" customWidth="1"/>
    <col min="24" max="24" width="8" customWidth="1"/>
    <col min="25" max="25" width="4.5703125" customWidth="1"/>
    <col min="26" max="26" width="10.28515625" customWidth="1"/>
    <col min="27" max="27" width="10.5703125" customWidth="1"/>
    <col min="28" max="28" width="11.5703125" customWidth="1"/>
    <col min="29" max="29" width="12.7109375" customWidth="1"/>
    <col min="30" max="30" width="10.42578125" customWidth="1"/>
    <col min="31" max="31" width="11.7109375" customWidth="1"/>
  </cols>
  <sheetData>
    <row r="1" spans="1:27" x14ac:dyDescent="0.25">
      <c r="T1" s="1" t="s">
        <v>231</v>
      </c>
      <c r="U1" s="1"/>
      <c r="V1" s="1"/>
      <c r="W1" s="1"/>
    </row>
    <row r="2" spans="1:27" x14ac:dyDescent="0.25">
      <c r="T2" s="1" t="s">
        <v>239</v>
      </c>
      <c r="U2" s="1"/>
      <c r="V2" s="1"/>
      <c r="W2" s="1"/>
    </row>
    <row r="3" spans="1:27" x14ac:dyDescent="0.25">
      <c r="T3" s="1" t="s">
        <v>233</v>
      </c>
      <c r="U3" s="1"/>
      <c r="V3" s="1"/>
      <c r="W3" s="1"/>
    </row>
    <row r="4" spans="1:27" x14ac:dyDescent="0.25">
      <c r="J4" s="121" t="s">
        <v>253</v>
      </c>
      <c r="K4" s="121"/>
      <c r="L4" s="121"/>
      <c r="M4" s="121"/>
      <c r="N4" s="121"/>
      <c r="O4" s="121"/>
      <c r="P4" s="121"/>
      <c r="T4" s="1" t="s">
        <v>254</v>
      </c>
      <c r="U4" s="1"/>
      <c r="V4" s="1"/>
      <c r="W4" s="1"/>
    </row>
    <row r="5" spans="1:27" ht="68.25" customHeight="1" x14ac:dyDescent="0.25">
      <c r="A5" s="324" t="s">
        <v>4</v>
      </c>
      <c r="B5" s="326" t="s">
        <v>71</v>
      </c>
      <c r="C5" s="327"/>
      <c r="D5" s="328"/>
      <c r="E5" s="290" t="s">
        <v>2</v>
      </c>
      <c r="F5" s="276" t="s">
        <v>11</v>
      </c>
      <c r="G5" s="284" t="s">
        <v>5</v>
      </c>
      <c r="H5" s="285"/>
      <c r="I5" s="285"/>
      <c r="J5" s="286"/>
      <c r="K5" s="284" t="s">
        <v>6</v>
      </c>
      <c r="L5" s="285"/>
      <c r="M5" s="285"/>
      <c r="N5" s="286"/>
      <c r="O5" s="284" t="s">
        <v>7</v>
      </c>
      <c r="P5" s="285"/>
      <c r="Q5" s="285"/>
      <c r="R5" s="286"/>
      <c r="S5" s="284" t="s">
        <v>15</v>
      </c>
      <c r="T5" s="285"/>
      <c r="U5" s="285"/>
      <c r="V5" s="286"/>
      <c r="W5" s="284" t="s">
        <v>16</v>
      </c>
      <c r="X5" s="285"/>
      <c r="Y5" s="285"/>
      <c r="Z5" s="286"/>
      <c r="AA5" s="281" t="s">
        <v>223</v>
      </c>
    </row>
    <row r="6" spans="1:27" ht="51" x14ac:dyDescent="0.25">
      <c r="A6" s="325"/>
      <c r="B6" s="329"/>
      <c r="C6" s="330"/>
      <c r="D6" s="331"/>
      <c r="E6" s="291"/>
      <c r="F6" s="277"/>
      <c r="G6" s="47" t="s">
        <v>12</v>
      </c>
      <c r="H6" s="47" t="s">
        <v>13</v>
      </c>
      <c r="I6" s="47" t="s">
        <v>14</v>
      </c>
      <c r="J6" s="47" t="s">
        <v>25</v>
      </c>
      <c r="K6" s="47" t="s">
        <v>12</v>
      </c>
      <c r="L6" s="47" t="s">
        <v>13</v>
      </c>
      <c r="M6" s="47" t="s">
        <v>14</v>
      </c>
      <c r="N6" s="47" t="s">
        <v>25</v>
      </c>
      <c r="O6" s="47" t="s">
        <v>12</v>
      </c>
      <c r="P6" s="47" t="s">
        <v>13</v>
      </c>
      <c r="Q6" s="47" t="s">
        <v>3</v>
      </c>
      <c r="R6" s="47" t="s">
        <v>25</v>
      </c>
      <c r="S6" s="47" t="s">
        <v>12</v>
      </c>
      <c r="T6" s="47" t="s">
        <v>13</v>
      </c>
      <c r="U6" s="47" t="s">
        <v>23</v>
      </c>
      <c r="V6" s="48" t="s">
        <v>25</v>
      </c>
      <c r="W6" s="47" t="s">
        <v>12</v>
      </c>
      <c r="X6" s="47" t="s">
        <v>13</v>
      </c>
      <c r="Y6" s="47" t="s">
        <v>23</v>
      </c>
      <c r="Z6" s="48" t="s">
        <v>25</v>
      </c>
      <c r="AA6" s="281"/>
    </row>
    <row r="7" spans="1:27" x14ac:dyDescent="0.25">
      <c r="A7" s="49" t="s">
        <v>8</v>
      </c>
      <c r="B7" s="287" t="s">
        <v>72</v>
      </c>
      <c r="C7" s="288"/>
      <c r="D7" s="289"/>
      <c r="E7" s="50" t="s">
        <v>73</v>
      </c>
      <c r="F7" s="51">
        <v>2900</v>
      </c>
      <c r="G7" s="51">
        <v>859</v>
      </c>
      <c r="H7" s="51">
        <f>F7*G7</f>
        <v>2491100</v>
      </c>
      <c r="I7" s="51">
        <v>11</v>
      </c>
      <c r="J7" s="137">
        <f>2061560-450000+118255+1100.8</f>
        <v>1730915.8</v>
      </c>
      <c r="K7" s="51">
        <v>291</v>
      </c>
      <c r="L7" s="51">
        <f>K7*F7-102600</f>
        <v>741300</v>
      </c>
      <c r="M7" s="51"/>
      <c r="N7" s="51">
        <f>557450-120000</f>
        <v>437450</v>
      </c>
      <c r="O7" s="51">
        <v>284</v>
      </c>
      <c r="P7" s="51">
        <f>F7*O7</f>
        <v>823600</v>
      </c>
      <c r="Q7" s="51">
        <v>35</v>
      </c>
      <c r="R7" s="137">
        <f>1072828+41854</f>
        <v>1114682</v>
      </c>
      <c r="S7" s="51">
        <v>48</v>
      </c>
      <c r="T7" s="51">
        <f>F7*S7</f>
        <v>139200</v>
      </c>
      <c r="U7" s="51">
        <v>195</v>
      </c>
      <c r="V7" s="52">
        <v>215000</v>
      </c>
      <c r="W7" s="51">
        <v>113</v>
      </c>
      <c r="X7" s="51">
        <f>F7*W7</f>
        <v>327700</v>
      </c>
      <c r="Y7" s="51">
        <v>50</v>
      </c>
      <c r="Z7" s="53">
        <f>400000</f>
        <v>400000</v>
      </c>
      <c r="AA7" s="51">
        <f t="shared" ref="AA7:AA22" si="0">J7+N7+R7+V7+Z7</f>
        <v>3898047.8</v>
      </c>
    </row>
    <row r="8" spans="1:27" x14ac:dyDescent="0.25">
      <c r="A8" s="49" t="s">
        <v>17</v>
      </c>
      <c r="B8" s="278" t="s">
        <v>79</v>
      </c>
      <c r="C8" s="279"/>
      <c r="D8" s="280"/>
      <c r="E8" s="50" t="s">
        <v>73</v>
      </c>
      <c r="F8" s="51"/>
      <c r="G8" s="51"/>
      <c r="H8" s="51">
        <v>650000</v>
      </c>
      <c r="I8" s="51"/>
      <c r="J8" s="137">
        <f>450000+6000</f>
        <v>456000</v>
      </c>
      <c r="K8" s="51"/>
      <c r="L8" s="51">
        <v>150000</v>
      </c>
      <c r="M8" s="51"/>
      <c r="N8" s="51">
        <v>120000</v>
      </c>
      <c r="O8" s="51"/>
      <c r="P8" s="51">
        <v>63480</v>
      </c>
      <c r="Q8" s="51">
        <v>325</v>
      </c>
      <c r="R8" s="137">
        <v>150000</v>
      </c>
      <c r="S8" s="51"/>
      <c r="T8" s="51">
        <v>27370</v>
      </c>
      <c r="U8" s="51">
        <v>415</v>
      </c>
      <c r="V8" s="51">
        <v>35000</v>
      </c>
      <c r="W8" s="54"/>
      <c r="X8" s="51">
        <v>12190</v>
      </c>
      <c r="Y8" s="51"/>
      <c r="Z8" s="55">
        <v>100000</v>
      </c>
      <c r="AA8" s="51">
        <f t="shared" si="0"/>
        <v>861000</v>
      </c>
    </row>
    <row r="9" spans="1:27" x14ac:dyDescent="0.25">
      <c r="A9" s="49" t="s">
        <v>20</v>
      </c>
      <c r="B9" s="314" t="s">
        <v>80</v>
      </c>
      <c r="C9" s="315"/>
      <c r="D9" s="316"/>
      <c r="E9" s="50" t="s">
        <v>73</v>
      </c>
      <c r="F9" s="51">
        <v>700</v>
      </c>
      <c r="G9" s="51">
        <v>859</v>
      </c>
      <c r="H9" s="51">
        <f>F9*G9</f>
        <v>601300</v>
      </c>
      <c r="I9" s="51"/>
      <c r="J9" s="137">
        <v>1109002</v>
      </c>
      <c r="K9" s="51"/>
      <c r="L9" s="51">
        <f>F9*K9</f>
        <v>0</v>
      </c>
      <c r="M9" s="51"/>
      <c r="N9" s="51">
        <v>489040</v>
      </c>
      <c r="O9" s="51"/>
      <c r="P9" s="51">
        <f>F9*O9</f>
        <v>0</v>
      </c>
      <c r="Q9" s="51">
        <v>13</v>
      </c>
      <c r="R9" s="51">
        <f>401823+120879</f>
        <v>522702</v>
      </c>
      <c r="S9" s="51"/>
      <c r="T9" s="51">
        <f>F9*S9</f>
        <v>0</v>
      </c>
      <c r="U9" s="51">
        <v>45</v>
      </c>
      <c r="V9" s="51">
        <v>397564</v>
      </c>
      <c r="W9" s="51"/>
      <c r="X9" s="51">
        <f>W9*F9</f>
        <v>0</v>
      </c>
      <c r="Y9" s="51">
        <v>165</v>
      </c>
      <c r="Z9" s="55">
        <v>261300</v>
      </c>
      <c r="AA9" s="51">
        <f t="shared" si="0"/>
        <v>2779608</v>
      </c>
    </row>
    <row r="10" spans="1:27" x14ac:dyDescent="0.25">
      <c r="A10" s="49" t="s">
        <v>27</v>
      </c>
      <c r="B10" s="314" t="s">
        <v>81</v>
      </c>
      <c r="C10" s="315"/>
      <c r="D10" s="316"/>
      <c r="E10" s="50" t="s">
        <v>73</v>
      </c>
      <c r="F10" s="51"/>
      <c r="G10" s="51"/>
      <c r="H10" s="51">
        <f>F10*G9</f>
        <v>0</v>
      </c>
      <c r="I10" s="51"/>
      <c r="J10" s="51"/>
      <c r="K10" s="51"/>
      <c r="L10" s="51">
        <f>F10*K9</f>
        <v>0</v>
      </c>
      <c r="M10" s="51"/>
      <c r="N10" s="51"/>
      <c r="O10" s="51"/>
      <c r="P10" s="51">
        <f>O9*F10</f>
        <v>0</v>
      </c>
      <c r="Q10" s="51">
        <v>-54</v>
      </c>
      <c r="R10" s="51"/>
      <c r="S10" s="51"/>
      <c r="T10" s="51">
        <f>F10*S9</f>
        <v>0</v>
      </c>
      <c r="U10" s="51">
        <v>-40</v>
      </c>
      <c r="V10" s="51"/>
      <c r="W10" s="51"/>
      <c r="X10" s="51">
        <f>W9*F10</f>
        <v>0</v>
      </c>
      <c r="Y10" s="51">
        <v>-17</v>
      </c>
      <c r="Z10" s="55"/>
      <c r="AA10" s="51">
        <f t="shared" si="0"/>
        <v>0</v>
      </c>
    </row>
    <row r="11" spans="1:27" x14ac:dyDescent="0.25">
      <c r="A11" s="49" t="s">
        <v>83</v>
      </c>
      <c r="B11" s="314" t="s">
        <v>84</v>
      </c>
      <c r="C11" s="315"/>
      <c r="D11" s="316"/>
      <c r="E11" s="50" t="s">
        <v>73</v>
      </c>
      <c r="F11" s="51">
        <v>1800</v>
      </c>
      <c r="G11" s="51"/>
      <c r="H11" s="51">
        <f>F11*G9</f>
        <v>1546200</v>
      </c>
      <c r="I11" s="51">
        <v>-11</v>
      </c>
      <c r="J11" s="137">
        <f>208914+1889214-7845</f>
        <v>2090283</v>
      </c>
      <c r="K11" s="51"/>
      <c r="L11" s="51">
        <f>F11*K9</f>
        <v>0</v>
      </c>
      <c r="M11" s="51">
        <v>43</v>
      </c>
      <c r="N11" s="51">
        <f>632437</f>
        <v>632437</v>
      </c>
      <c r="O11" s="51"/>
      <c r="P11" s="51">
        <f>F11*O9</f>
        <v>0</v>
      </c>
      <c r="Q11" s="51">
        <v>73</v>
      </c>
      <c r="R11" s="51">
        <v>664337</v>
      </c>
      <c r="S11" s="51"/>
      <c r="T11" s="51">
        <f>F11*S9</f>
        <v>0</v>
      </c>
      <c r="U11" s="51">
        <v>272</v>
      </c>
      <c r="V11" s="51">
        <v>257740</v>
      </c>
      <c r="W11" s="51"/>
      <c r="X11" s="51">
        <f>F11*W9</f>
        <v>0</v>
      </c>
      <c r="Y11" s="51">
        <v>78</v>
      </c>
      <c r="Z11" s="55">
        <v>430000</v>
      </c>
      <c r="AA11" s="51">
        <f t="shared" si="0"/>
        <v>4074797</v>
      </c>
    </row>
    <row r="12" spans="1:27" x14ac:dyDescent="0.25">
      <c r="A12" s="56" t="s">
        <v>85</v>
      </c>
      <c r="B12" s="314" t="s">
        <v>86</v>
      </c>
      <c r="C12" s="315"/>
      <c r="D12" s="316"/>
      <c r="E12" s="50" t="s">
        <v>73</v>
      </c>
      <c r="F12" s="51">
        <v>120</v>
      </c>
      <c r="G12" s="51"/>
      <c r="H12" s="51">
        <f>F12*G9+2440</f>
        <v>105520</v>
      </c>
      <c r="I12" s="51"/>
      <c r="J12" s="137">
        <v>124199</v>
      </c>
      <c r="K12" s="51"/>
      <c r="L12" s="51"/>
      <c r="M12" s="51"/>
      <c r="N12" s="51">
        <v>604987</v>
      </c>
      <c r="O12" s="51"/>
      <c r="P12" s="51"/>
      <c r="Q12" s="51"/>
      <c r="R12" s="51">
        <v>277432</v>
      </c>
      <c r="S12" s="51"/>
      <c r="T12" s="51"/>
      <c r="U12" s="51"/>
      <c r="V12" s="51"/>
      <c r="W12" s="51"/>
      <c r="X12" s="51"/>
      <c r="Y12" s="51"/>
      <c r="Z12" s="55">
        <v>135566</v>
      </c>
      <c r="AA12" s="51">
        <f t="shared" si="0"/>
        <v>1142184</v>
      </c>
    </row>
    <row r="13" spans="1:27" x14ac:dyDescent="0.25">
      <c r="A13" s="57" t="s">
        <v>87</v>
      </c>
      <c r="B13" s="321" t="s">
        <v>88</v>
      </c>
      <c r="C13" s="322"/>
      <c r="D13" s="323"/>
      <c r="E13" s="58" t="s">
        <v>73</v>
      </c>
      <c r="F13" s="59">
        <v>2150</v>
      </c>
      <c r="G13" s="59"/>
      <c r="H13" s="59">
        <f>F13*G9</f>
        <v>1846850</v>
      </c>
      <c r="I13" s="59"/>
      <c r="J13" s="138">
        <v>1592210</v>
      </c>
      <c r="K13" s="59"/>
      <c r="L13" s="59">
        <f>K9*F13</f>
        <v>0</v>
      </c>
      <c r="M13" s="59"/>
      <c r="N13" s="59">
        <v>1251353</v>
      </c>
      <c r="O13" s="59"/>
      <c r="P13" s="59">
        <f>F13*O9</f>
        <v>0</v>
      </c>
      <c r="Q13" s="59"/>
      <c r="R13" s="59">
        <v>429413</v>
      </c>
      <c r="S13" s="59"/>
      <c r="T13" s="59"/>
      <c r="U13" s="59"/>
      <c r="V13" s="59">
        <v>215709</v>
      </c>
      <c r="W13" s="59"/>
      <c r="X13" s="59">
        <f>W9*F13</f>
        <v>0</v>
      </c>
      <c r="Y13" s="59"/>
      <c r="Z13" s="60">
        <v>455024</v>
      </c>
      <c r="AA13" s="51">
        <f t="shared" si="0"/>
        <v>3943709</v>
      </c>
    </row>
    <row r="14" spans="1:27" x14ac:dyDescent="0.25">
      <c r="A14" s="56" t="s">
        <v>89</v>
      </c>
      <c r="B14" s="295" t="s">
        <v>95</v>
      </c>
      <c r="C14" s="295"/>
      <c r="D14" s="295"/>
      <c r="E14" s="58" t="s">
        <v>73</v>
      </c>
      <c r="F14" s="51">
        <v>100</v>
      </c>
      <c r="G14" s="51"/>
      <c r="H14" s="51">
        <f>F14*G9</f>
        <v>85900</v>
      </c>
      <c r="I14" s="51"/>
      <c r="J14" s="137">
        <f>H14-2448</f>
        <v>83452</v>
      </c>
      <c r="K14" s="51"/>
      <c r="L14" s="51">
        <f>F14*K9</f>
        <v>0</v>
      </c>
      <c r="M14" s="51"/>
      <c r="N14" s="51">
        <v>30300</v>
      </c>
      <c r="O14" s="51"/>
      <c r="P14" s="51">
        <f>F14*O9</f>
        <v>0</v>
      </c>
      <c r="Q14" s="51"/>
      <c r="R14" s="51">
        <v>28704</v>
      </c>
      <c r="S14" s="51"/>
      <c r="T14" s="51">
        <f>S9*F14</f>
        <v>0</v>
      </c>
      <c r="U14" s="51"/>
      <c r="V14" s="51">
        <v>6136</v>
      </c>
      <c r="W14" s="51"/>
      <c r="X14" s="51">
        <v>12900</v>
      </c>
      <c r="Y14" s="51"/>
      <c r="Z14" s="55">
        <v>13416</v>
      </c>
      <c r="AA14" s="51">
        <f t="shared" si="0"/>
        <v>162008</v>
      </c>
    </row>
    <row r="15" spans="1:27" x14ac:dyDescent="0.25">
      <c r="A15" s="49" t="s">
        <v>91</v>
      </c>
      <c r="B15" s="287" t="s">
        <v>96</v>
      </c>
      <c r="C15" s="288"/>
      <c r="D15" s="289"/>
      <c r="E15" s="58" t="s">
        <v>73</v>
      </c>
      <c r="F15" s="51"/>
      <c r="G15" s="51"/>
      <c r="H15" s="51"/>
      <c r="I15" s="51"/>
      <c r="J15" s="137">
        <v>111604</v>
      </c>
      <c r="K15" s="51"/>
      <c r="L15" s="51"/>
      <c r="M15" s="51"/>
      <c r="N15" s="51">
        <v>90448</v>
      </c>
      <c r="O15" s="51"/>
      <c r="P15" s="51"/>
      <c r="Q15" s="51"/>
      <c r="R15" s="51"/>
      <c r="S15" s="51"/>
      <c r="T15" s="51"/>
      <c r="U15" s="51"/>
      <c r="V15" s="51">
        <v>11580</v>
      </c>
      <c r="W15" s="51"/>
      <c r="X15" s="51"/>
      <c r="Y15" s="51"/>
      <c r="Z15" s="55"/>
      <c r="AA15" s="51">
        <f t="shared" si="0"/>
        <v>213632</v>
      </c>
    </row>
    <row r="16" spans="1:27" s="32" customFormat="1" ht="30" customHeight="1" x14ac:dyDescent="0.25">
      <c r="A16" s="49" t="s">
        <v>93</v>
      </c>
      <c r="B16" s="317" t="s">
        <v>222</v>
      </c>
      <c r="C16" s="318"/>
      <c r="D16" s="319"/>
      <c r="E16" s="58" t="s">
        <v>73</v>
      </c>
      <c r="F16" s="61"/>
      <c r="G16" s="61"/>
      <c r="H16" s="61"/>
      <c r="I16" s="61"/>
      <c r="J16" s="139">
        <f>1254133+30784</f>
        <v>1284917</v>
      </c>
      <c r="K16" s="61"/>
      <c r="L16" s="61"/>
      <c r="M16" s="61"/>
      <c r="N16" s="49">
        <v>671200</v>
      </c>
      <c r="O16" s="61"/>
      <c r="P16" s="61"/>
      <c r="Q16" s="61"/>
      <c r="R16" s="49">
        <v>495200</v>
      </c>
      <c r="S16" s="61"/>
      <c r="T16" s="61"/>
      <c r="U16" s="61"/>
      <c r="V16" s="49">
        <f>82368+6800</f>
        <v>89168</v>
      </c>
      <c r="W16" s="61"/>
      <c r="X16" s="61"/>
      <c r="Y16" s="61"/>
      <c r="Z16" s="62">
        <f>132600+19100</f>
        <v>151700</v>
      </c>
      <c r="AA16" s="51">
        <f t="shared" si="0"/>
        <v>2692185</v>
      </c>
    </row>
    <row r="17" spans="1:27" ht="27" customHeight="1" x14ac:dyDescent="0.25">
      <c r="A17" s="63" t="s">
        <v>99</v>
      </c>
      <c r="B17" s="340" t="s">
        <v>98</v>
      </c>
      <c r="C17" s="341"/>
      <c r="D17" s="342"/>
      <c r="E17" s="58" t="s">
        <v>73</v>
      </c>
      <c r="F17" s="64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60"/>
      <c r="AA17" s="51">
        <f t="shared" si="0"/>
        <v>0</v>
      </c>
    </row>
    <row r="18" spans="1:27" x14ac:dyDescent="0.25">
      <c r="A18" s="49" t="s">
        <v>100</v>
      </c>
      <c r="B18" s="287" t="s">
        <v>90</v>
      </c>
      <c r="C18" s="288"/>
      <c r="D18" s="289"/>
      <c r="E18" s="58" t="s">
        <v>73</v>
      </c>
      <c r="F18" s="61"/>
      <c r="G18" s="51"/>
      <c r="H18" s="51"/>
      <c r="I18" s="51"/>
      <c r="J18" s="51">
        <f>1284584+49800+46421</f>
        <v>1380805</v>
      </c>
      <c r="K18" s="51"/>
      <c r="L18" s="51"/>
      <c r="M18" s="51"/>
      <c r="N18" s="51">
        <v>228986</v>
      </c>
      <c r="O18" s="51"/>
      <c r="P18" s="51"/>
      <c r="Q18" s="51"/>
      <c r="R18" s="51">
        <f>2909067+95584</f>
        <v>3004651</v>
      </c>
      <c r="S18" s="51"/>
      <c r="T18" s="51"/>
      <c r="U18" s="51"/>
      <c r="V18" s="51">
        <f>102196+15156</f>
        <v>117352</v>
      </c>
      <c r="W18" s="51"/>
      <c r="X18" s="51"/>
      <c r="Y18" s="51"/>
      <c r="Z18" s="55">
        <f>1355612+57847-4611</f>
        <v>1408848</v>
      </c>
      <c r="AA18" s="51">
        <f t="shared" si="0"/>
        <v>6140642</v>
      </c>
    </row>
    <row r="19" spans="1:27" x14ac:dyDescent="0.25">
      <c r="A19" s="63" t="s">
        <v>101</v>
      </c>
      <c r="B19" s="335" t="s">
        <v>102</v>
      </c>
      <c r="C19" s="335"/>
      <c r="D19" s="335"/>
      <c r="E19" s="58" t="s">
        <v>73</v>
      </c>
      <c r="F19" s="64"/>
      <c r="G19" s="59"/>
      <c r="H19" s="59"/>
      <c r="I19" s="59"/>
      <c r="J19" s="138">
        <v>5557935</v>
      </c>
      <c r="K19" s="59"/>
      <c r="L19" s="59"/>
      <c r="M19" s="59"/>
      <c r="N19" s="59">
        <f>1881642-60037</f>
        <v>1821605</v>
      </c>
      <c r="O19" s="59"/>
      <c r="P19" s="59"/>
      <c r="Q19" s="59"/>
      <c r="R19" s="59">
        <v>3223779</v>
      </c>
      <c r="S19" s="59"/>
      <c r="T19" s="59"/>
      <c r="U19" s="59"/>
      <c r="V19" s="59">
        <v>850000</v>
      </c>
      <c r="W19" s="59"/>
      <c r="X19" s="59"/>
      <c r="Y19" s="59"/>
      <c r="Z19" s="60">
        <v>1942352</v>
      </c>
      <c r="AA19" s="51">
        <f t="shared" si="0"/>
        <v>13395671</v>
      </c>
    </row>
    <row r="20" spans="1:27" x14ac:dyDescent="0.25">
      <c r="A20" s="49" t="s">
        <v>220</v>
      </c>
      <c r="B20" s="385" t="s">
        <v>221</v>
      </c>
      <c r="C20" s="386"/>
      <c r="D20" s="387"/>
      <c r="E20" s="58" t="s">
        <v>73</v>
      </c>
      <c r="F20" s="64"/>
      <c r="G20" s="59"/>
      <c r="H20" s="59"/>
      <c r="I20" s="59"/>
      <c r="J20" s="138">
        <v>433643</v>
      </c>
      <c r="K20" s="59"/>
      <c r="L20" s="59"/>
      <c r="M20" s="59"/>
      <c r="N20" s="59">
        <v>60465</v>
      </c>
      <c r="O20" s="59"/>
      <c r="P20" s="59"/>
      <c r="Q20" s="59"/>
      <c r="R20" s="59">
        <v>385842</v>
      </c>
      <c r="S20" s="59"/>
      <c r="T20" s="59"/>
      <c r="U20" s="59"/>
      <c r="V20" s="59"/>
      <c r="W20" s="59"/>
      <c r="X20" s="59"/>
      <c r="Y20" s="59"/>
      <c r="Z20" s="60">
        <v>136250</v>
      </c>
      <c r="AA20" s="51">
        <f t="shared" si="0"/>
        <v>1016200</v>
      </c>
    </row>
    <row r="21" spans="1:27" x14ac:dyDescent="0.25">
      <c r="A21" s="336" t="s">
        <v>223</v>
      </c>
      <c r="B21" s="337"/>
      <c r="C21" s="337"/>
      <c r="D21" s="338"/>
      <c r="E21" s="65"/>
      <c r="F21" s="65"/>
      <c r="G21" s="65"/>
      <c r="H21" s="65"/>
      <c r="I21" s="65"/>
      <c r="J21" s="65">
        <f>SUM(J7:J20)</f>
        <v>15954965.800000001</v>
      </c>
      <c r="K21" s="65"/>
      <c r="L21" s="65"/>
      <c r="M21" s="65"/>
      <c r="N21" s="65">
        <f>SUM(N7:N20)</f>
        <v>6438271</v>
      </c>
      <c r="O21" s="65"/>
      <c r="P21" s="65"/>
      <c r="Q21" s="65"/>
      <c r="R21" s="65">
        <f>SUM(R7:R20)</f>
        <v>10296742</v>
      </c>
      <c r="S21" s="65"/>
      <c r="T21" s="65"/>
      <c r="U21" s="65"/>
      <c r="V21" s="65">
        <f>SUM(V7:V20)</f>
        <v>2195249</v>
      </c>
      <c r="W21" s="65"/>
      <c r="X21" s="65"/>
      <c r="Y21" s="65"/>
      <c r="Z21" s="65">
        <f>SUM(Z7:Z20)</f>
        <v>5434456</v>
      </c>
      <c r="AA21" s="65">
        <f t="shared" si="0"/>
        <v>40319683.799999997</v>
      </c>
    </row>
    <row r="22" spans="1:27" x14ac:dyDescent="0.25">
      <c r="A22" s="54"/>
      <c r="B22" s="54" t="s">
        <v>113</v>
      </c>
      <c r="C22" s="54"/>
      <c r="D22" s="54"/>
      <c r="E22" s="54"/>
      <c r="F22" s="54"/>
      <c r="G22" s="54"/>
      <c r="H22" s="54"/>
      <c r="I22" s="54"/>
      <c r="J22" s="54">
        <f>J21/G9</f>
        <v>18573.883352735738</v>
      </c>
      <c r="K22" s="54"/>
      <c r="L22" s="54"/>
      <c r="M22" s="54"/>
      <c r="N22" s="54">
        <f>N21/K7</f>
        <v>22124.642611683848</v>
      </c>
      <c r="O22" s="54"/>
      <c r="P22" s="54"/>
      <c r="Q22" s="54"/>
      <c r="R22" s="54">
        <f>R21/O7</f>
        <v>36256.133802816905</v>
      </c>
      <c r="S22" s="54"/>
      <c r="T22" s="54"/>
      <c r="U22" s="54"/>
      <c r="V22" s="54">
        <f>V21/S7</f>
        <v>45734.354166666664</v>
      </c>
      <c r="W22" s="54"/>
      <c r="X22" s="54"/>
      <c r="Y22" s="54"/>
      <c r="Z22" s="54">
        <f>Z21/W7</f>
        <v>48092.530973451328</v>
      </c>
      <c r="AA22" s="66">
        <f t="shared" si="0"/>
        <v>170781.54490735449</v>
      </c>
    </row>
    <row r="23" spans="1:27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</row>
    <row r="24" spans="1:27" x14ac:dyDescent="0.25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</row>
    <row r="25" spans="1:27" ht="30" x14ac:dyDescent="0.25">
      <c r="A25" s="305" t="s">
        <v>224</v>
      </c>
      <c r="B25" s="306"/>
      <c r="C25" s="306"/>
      <c r="D25" s="306"/>
      <c r="E25" s="306"/>
      <c r="F25" s="306"/>
      <c r="G25" s="306"/>
      <c r="H25" s="306"/>
      <c r="I25" s="307"/>
      <c r="J25" s="45" t="s">
        <v>185</v>
      </c>
      <c r="K25" s="45" t="s">
        <v>186</v>
      </c>
      <c r="L25" s="44" t="s">
        <v>187</v>
      </c>
      <c r="M25" s="45" t="s">
        <v>188</v>
      </c>
      <c r="N25" s="45" t="s">
        <v>189</v>
      </c>
      <c r="O25" s="45" t="s">
        <v>183</v>
      </c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</row>
    <row r="26" spans="1:27" x14ac:dyDescent="0.25">
      <c r="A26" s="305" t="s">
        <v>170</v>
      </c>
      <c r="B26" s="306"/>
      <c r="C26" s="306"/>
      <c r="D26" s="306"/>
      <c r="E26" s="306"/>
      <c r="F26" s="306"/>
      <c r="G26" s="306"/>
      <c r="H26" s="306"/>
      <c r="I26" s="307"/>
      <c r="J26" s="3">
        <f>SUM(J27:J29)</f>
        <v>5816940.7999999998</v>
      </c>
      <c r="K26" s="3">
        <f t="shared" ref="K26:O26" si="1">SUM(K27:K29)</f>
        <v>3266203</v>
      </c>
      <c r="L26" s="3">
        <f t="shared" si="1"/>
        <v>2881273</v>
      </c>
      <c r="M26" s="3">
        <f t="shared" si="1"/>
        <v>572593</v>
      </c>
      <c r="N26" s="3">
        <f t="shared" si="1"/>
        <v>1391956</v>
      </c>
      <c r="O26" s="3">
        <f t="shared" si="1"/>
        <v>13928965.800000001</v>
      </c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1:27" x14ac:dyDescent="0.25">
      <c r="A27" s="308" t="s">
        <v>178</v>
      </c>
      <c r="B27" s="309"/>
      <c r="C27" s="309"/>
      <c r="D27" s="309"/>
      <c r="E27" s="309"/>
      <c r="F27" s="309"/>
      <c r="G27" s="309"/>
      <c r="H27" s="309"/>
      <c r="I27" s="310"/>
      <c r="J27" s="3"/>
      <c r="K27" s="3"/>
      <c r="L27" s="3"/>
      <c r="M27" s="3"/>
      <c r="N27" s="3"/>
      <c r="O27" s="3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</row>
    <row r="28" spans="1:27" x14ac:dyDescent="0.25">
      <c r="A28" s="296" t="s">
        <v>176</v>
      </c>
      <c r="B28" s="297"/>
      <c r="C28" s="297"/>
      <c r="D28" s="297"/>
      <c r="E28" s="297"/>
      <c r="F28" s="297"/>
      <c r="G28" s="297"/>
      <c r="H28" s="297"/>
      <c r="I28" s="298"/>
      <c r="J28" s="43">
        <f>J12+J13+J16</f>
        <v>3001326</v>
      </c>
      <c r="K28" s="43">
        <f>N12+N13+N16+N20</f>
        <v>2588005</v>
      </c>
      <c r="L28" s="43">
        <f>R12+R13+R16</f>
        <v>1202045</v>
      </c>
      <c r="M28" s="43">
        <f>V12+V13+V16+V20</f>
        <v>304877</v>
      </c>
      <c r="N28" s="43">
        <f>Z12+Z13+Z16+Z20</f>
        <v>878540</v>
      </c>
      <c r="O28" s="43">
        <f>SUM(J28:N28)</f>
        <v>7974793</v>
      </c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1:27" x14ac:dyDescent="0.25">
      <c r="A29" s="296" t="s">
        <v>175</v>
      </c>
      <c r="B29" s="297"/>
      <c r="C29" s="297"/>
      <c r="D29" s="297"/>
      <c r="E29" s="297"/>
      <c r="F29" s="297"/>
      <c r="G29" s="297"/>
      <c r="H29" s="297"/>
      <c r="I29" s="298"/>
      <c r="J29" s="43">
        <f>J7+J8+J14+J15+J20</f>
        <v>2815614.8</v>
      </c>
      <c r="K29" s="43">
        <f>N7+N8+N14+N15</f>
        <v>678198</v>
      </c>
      <c r="L29" s="43">
        <f>R7+R8+R20+R14</f>
        <v>1679228</v>
      </c>
      <c r="M29" s="43">
        <f>V7+V8+V14+V15</f>
        <v>267716</v>
      </c>
      <c r="N29" s="43">
        <f>Z7+Z8+Z14+Z15</f>
        <v>513416</v>
      </c>
      <c r="O29" s="43">
        <f>SUM(J29:N29)</f>
        <v>5954172.7999999998</v>
      </c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</row>
    <row r="30" spans="1:27" x14ac:dyDescent="0.25">
      <c r="A30" s="311" t="s">
        <v>177</v>
      </c>
      <c r="B30" s="312"/>
      <c r="C30" s="312"/>
      <c r="D30" s="312"/>
      <c r="E30" s="312"/>
      <c r="F30" s="312"/>
      <c r="G30" s="312"/>
      <c r="H30" s="312"/>
      <c r="I30" s="313"/>
      <c r="J30" s="43">
        <f t="shared" ref="J30:O30" si="2">SUM(J31:J40)</f>
        <v>10138025</v>
      </c>
      <c r="K30" s="43">
        <f t="shared" si="2"/>
        <v>3172068</v>
      </c>
      <c r="L30" s="43">
        <f t="shared" si="2"/>
        <v>7415469</v>
      </c>
      <c r="M30" s="43">
        <f t="shared" si="2"/>
        <v>1622656</v>
      </c>
      <c r="N30" s="43">
        <f t="shared" si="2"/>
        <v>4042500</v>
      </c>
      <c r="O30" s="43">
        <f t="shared" si="2"/>
        <v>26390718</v>
      </c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</row>
    <row r="31" spans="1:27" x14ac:dyDescent="0.25">
      <c r="A31" s="308" t="s">
        <v>179</v>
      </c>
      <c r="B31" s="309"/>
      <c r="C31" s="309"/>
      <c r="D31" s="309"/>
      <c r="E31" s="309"/>
      <c r="F31" s="309"/>
      <c r="G31" s="309"/>
      <c r="H31" s="309"/>
      <c r="I31" s="310"/>
      <c r="J31" s="43"/>
      <c r="K31" s="43"/>
      <c r="L31" s="43"/>
      <c r="M31" s="43"/>
      <c r="N31" s="43"/>
      <c r="O31" s="3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</row>
    <row r="32" spans="1:27" x14ac:dyDescent="0.25">
      <c r="A32" s="296" t="s">
        <v>171</v>
      </c>
      <c r="B32" s="297"/>
      <c r="C32" s="297"/>
      <c r="D32" s="297"/>
      <c r="E32" s="297"/>
      <c r="F32" s="297"/>
      <c r="G32" s="297"/>
      <c r="H32" s="297"/>
      <c r="I32" s="298"/>
      <c r="J32" s="43"/>
      <c r="K32" s="43"/>
      <c r="L32" s="43"/>
      <c r="M32" s="43"/>
      <c r="N32" s="43"/>
      <c r="O32" s="3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</row>
    <row r="33" spans="1:27" x14ac:dyDescent="0.25">
      <c r="A33" s="36" t="s">
        <v>172</v>
      </c>
      <c r="B33" s="37"/>
      <c r="C33" s="37"/>
      <c r="D33" s="37"/>
      <c r="E33" s="37"/>
      <c r="F33" s="37"/>
      <c r="G33" s="37"/>
      <c r="H33" s="37"/>
      <c r="I33" s="38"/>
      <c r="J33" s="43">
        <f>798262*90%</f>
        <v>718435.8</v>
      </c>
      <c r="K33" s="43">
        <f>412694*90%</f>
        <v>371424.60000000003</v>
      </c>
      <c r="L33" s="43">
        <f>1489855*90%</f>
        <v>1340869.5</v>
      </c>
      <c r="M33" s="43">
        <f>241573*90%</f>
        <v>217415.7</v>
      </c>
      <c r="N33" s="43">
        <f>380760*90%</f>
        <v>342684</v>
      </c>
      <c r="O33" s="43">
        <f>SUM(J33:N33)</f>
        <v>2990829.6000000006</v>
      </c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</row>
    <row r="34" spans="1:27" x14ac:dyDescent="0.25">
      <c r="A34" s="296" t="s">
        <v>173</v>
      </c>
      <c r="B34" s="297"/>
      <c r="C34" s="297"/>
      <c r="D34" s="297"/>
      <c r="E34" s="297"/>
      <c r="F34" s="297"/>
      <c r="G34" s="297"/>
      <c r="H34" s="297"/>
      <c r="I34" s="298"/>
      <c r="J34" s="43">
        <f>3698572*50%</f>
        <v>1849286</v>
      </c>
      <c r="K34" s="43">
        <f>1828659*50%</f>
        <v>914329.5</v>
      </c>
      <c r="L34" s="43">
        <f>1403113*50%</f>
        <v>701556.5</v>
      </c>
      <c r="M34" s="43">
        <f>1376643*50%</f>
        <v>688321.5</v>
      </c>
      <c r="N34" s="43">
        <f>1192517*50%</f>
        <v>596258.5</v>
      </c>
      <c r="O34" s="43">
        <f t="shared" ref="O34:O35" si="3">SUM(J34:N34)</f>
        <v>4749752</v>
      </c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</row>
    <row r="35" spans="1:27" x14ac:dyDescent="0.25">
      <c r="A35" s="296" t="s">
        <v>174</v>
      </c>
      <c r="B35" s="297"/>
      <c r="C35" s="297"/>
      <c r="D35" s="297"/>
      <c r="E35" s="297"/>
      <c r="F35" s="297"/>
      <c r="G35" s="297"/>
      <c r="H35" s="297"/>
      <c r="I35" s="298"/>
      <c r="J35" s="43">
        <f>194595+283230</f>
        <v>477825</v>
      </c>
      <c r="K35" s="43">
        <f>99441+144734</f>
        <v>244175</v>
      </c>
      <c r="L35" s="43">
        <f>183953+267218</f>
        <v>451171</v>
      </c>
      <c r="M35" s="43">
        <v>134085</v>
      </c>
      <c r="N35" s="43">
        <f>109156+158874</f>
        <v>268030</v>
      </c>
      <c r="O35" s="43">
        <f t="shared" si="3"/>
        <v>1575286</v>
      </c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</row>
    <row r="36" spans="1:27" x14ac:dyDescent="0.25">
      <c r="A36" s="296" t="s">
        <v>180</v>
      </c>
      <c r="B36" s="297"/>
      <c r="C36" s="297"/>
      <c r="D36" s="297"/>
      <c r="E36" s="297"/>
      <c r="F36" s="297"/>
      <c r="G36" s="297"/>
      <c r="H36" s="297"/>
      <c r="I36" s="298"/>
      <c r="J36" s="43"/>
      <c r="K36" s="43"/>
      <c r="L36" s="43"/>
      <c r="M36" s="43"/>
      <c r="N36" s="43"/>
      <c r="O36" s="3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1:27" x14ac:dyDescent="0.25">
      <c r="A37" s="296" t="s">
        <v>181</v>
      </c>
      <c r="B37" s="297"/>
      <c r="C37" s="297"/>
      <c r="D37" s="297"/>
      <c r="E37" s="297"/>
      <c r="F37" s="297"/>
      <c r="G37" s="297"/>
      <c r="H37" s="297"/>
      <c r="I37" s="298"/>
      <c r="J37" s="43"/>
      <c r="K37" s="43"/>
      <c r="L37" s="43"/>
      <c r="M37" s="43"/>
      <c r="N37" s="43"/>
      <c r="O37" s="3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</row>
    <row r="38" spans="1:27" x14ac:dyDescent="0.25">
      <c r="A38" s="299" t="s">
        <v>182</v>
      </c>
      <c r="B38" s="300"/>
      <c r="C38" s="300"/>
      <c r="D38" s="300"/>
      <c r="E38" s="300"/>
      <c r="F38" s="300"/>
      <c r="G38" s="300"/>
      <c r="H38" s="300"/>
      <c r="I38" s="301"/>
      <c r="J38" s="43"/>
      <c r="K38" s="43"/>
      <c r="L38" s="43"/>
      <c r="M38" s="43"/>
      <c r="N38" s="43"/>
      <c r="O38" s="3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</row>
    <row r="39" spans="1:27" x14ac:dyDescent="0.25">
      <c r="A39" s="302"/>
      <c r="B39" s="303"/>
      <c r="C39" s="303"/>
      <c r="D39" s="303"/>
      <c r="E39" s="303"/>
      <c r="F39" s="303"/>
      <c r="G39" s="303"/>
      <c r="H39" s="303"/>
      <c r="I39" s="304"/>
      <c r="J39" s="43">
        <f>(J19-J33-J34-J35)+J9+J18-1500000+J11-19200</f>
        <v>5573278.2000000002</v>
      </c>
      <c r="K39" s="43">
        <f>N9+N18+N19-K33-K34-K35+N11-470220-11400</f>
        <v>1160518.8999999999</v>
      </c>
      <c r="L39" s="43">
        <f>R9+R11+R18+R19-L33-L34-L35-6200-393611</f>
        <v>4522061</v>
      </c>
      <c r="M39" s="43">
        <f>V9+V11+V18+V19-M33-M34-M35-M40</f>
        <v>287349.80000000005</v>
      </c>
      <c r="N39" s="43">
        <f>Z9+Z11+Z18+Z19-N33-N34-N35-6500-40884</f>
        <v>2788143.5</v>
      </c>
      <c r="O39" s="43">
        <f>SUM(J39:N39)</f>
        <v>14331351.4</v>
      </c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</row>
    <row r="40" spans="1:27" x14ac:dyDescent="0.25">
      <c r="A40" s="296" t="s">
        <v>175</v>
      </c>
      <c r="B40" s="297"/>
      <c r="C40" s="297"/>
      <c r="D40" s="297"/>
      <c r="E40" s="297"/>
      <c r="F40" s="297"/>
      <c r="G40" s="297"/>
      <c r="H40" s="297"/>
      <c r="I40" s="298"/>
      <c r="J40" s="43">
        <f>1500000+19200</f>
        <v>1519200</v>
      </c>
      <c r="K40" s="43">
        <f>470220+11400</f>
        <v>481620</v>
      </c>
      <c r="L40" s="43">
        <f>6200+63773+329838</f>
        <v>399811</v>
      </c>
      <c r="M40" s="43">
        <f>188884+106600</f>
        <v>295484</v>
      </c>
      <c r="N40" s="43">
        <f>6500+40884</f>
        <v>47384</v>
      </c>
      <c r="O40" s="43">
        <f t="shared" ref="O40:O41" si="4">SUM(J40:N40)</f>
        <v>2743499</v>
      </c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</row>
    <row r="41" spans="1:27" x14ac:dyDescent="0.25">
      <c r="A41" s="296" t="s">
        <v>183</v>
      </c>
      <c r="B41" s="297"/>
      <c r="C41" s="297"/>
      <c r="D41" s="297"/>
      <c r="E41" s="297"/>
      <c r="F41" s="297"/>
      <c r="G41" s="297"/>
      <c r="H41" s="297"/>
      <c r="I41" s="298"/>
      <c r="J41" s="43">
        <f>J26+J30</f>
        <v>15954965.800000001</v>
      </c>
      <c r="K41" s="43">
        <f>K26+K30</f>
        <v>6438271</v>
      </c>
      <c r="L41" s="43">
        <f>L26+L30</f>
        <v>10296742</v>
      </c>
      <c r="M41" s="43">
        <f>M26+M30</f>
        <v>2195249</v>
      </c>
      <c r="N41" s="43">
        <f>N26+N30</f>
        <v>5434456</v>
      </c>
      <c r="O41" s="43">
        <f t="shared" si="4"/>
        <v>40319683.799999997</v>
      </c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1:27" x14ac:dyDescent="0.25">
      <c r="A42" s="296" t="s">
        <v>184</v>
      </c>
      <c r="B42" s="297"/>
      <c r="C42" s="297"/>
      <c r="D42" s="297"/>
      <c r="E42" s="297"/>
      <c r="F42" s="297"/>
      <c r="G42" s="297"/>
      <c r="H42" s="297"/>
      <c r="I42" s="298"/>
      <c r="J42" s="43">
        <f>J41/G7</f>
        <v>18573.883352735738</v>
      </c>
      <c r="K42" s="43">
        <f>K41/K7</f>
        <v>22124.642611683848</v>
      </c>
      <c r="L42" s="43">
        <f>L41/O7</f>
        <v>36256.133802816905</v>
      </c>
      <c r="M42" s="43">
        <f>M41/S7</f>
        <v>45734.354166666664</v>
      </c>
      <c r="N42" s="43">
        <f>N41/W7</f>
        <v>48092.530973451328</v>
      </c>
      <c r="O42" s="3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1:27" x14ac:dyDescent="0.25"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</row>
    <row r="44" spans="1:27" x14ac:dyDescent="0.25">
      <c r="A44" s="1"/>
      <c r="B44" s="1"/>
      <c r="C44" s="1"/>
      <c r="D44" s="1"/>
      <c r="F44" s="54"/>
      <c r="G44" s="54"/>
      <c r="H44" s="54"/>
      <c r="I44" s="54"/>
      <c r="J44" s="54"/>
      <c r="K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</row>
    <row r="45" spans="1:27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1" t="s">
        <v>235</v>
      </c>
      <c r="T45" s="1"/>
      <c r="U45" s="1"/>
      <c r="V45" s="54"/>
      <c r="W45" s="54"/>
      <c r="X45" s="54"/>
      <c r="Y45" s="54"/>
      <c r="Z45" s="54"/>
      <c r="AA45" s="54"/>
    </row>
    <row r="46" spans="1:27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S46" s="1" t="s">
        <v>239</v>
      </c>
      <c r="T46" s="1"/>
      <c r="U46" s="1"/>
    </row>
    <row r="47" spans="1:27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S47" s="1" t="s">
        <v>233</v>
      </c>
      <c r="T47" s="1"/>
      <c r="U47" s="1"/>
      <c r="V47" s="1"/>
    </row>
    <row r="48" spans="1:27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S48" s="1" t="s">
        <v>254</v>
      </c>
      <c r="T48" s="1"/>
      <c r="U48" s="1"/>
      <c r="V48" s="1"/>
    </row>
    <row r="49" spans="1:28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9"/>
    </row>
    <row r="50" spans="1:28" ht="26.25" customHeight="1" x14ac:dyDescent="0.25">
      <c r="A50" s="324" t="s">
        <v>4</v>
      </c>
      <c r="B50" s="326" t="s">
        <v>71</v>
      </c>
      <c r="C50" s="327"/>
      <c r="D50" s="328"/>
      <c r="E50" s="290" t="s">
        <v>2</v>
      </c>
      <c r="F50" s="276" t="s">
        <v>82</v>
      </c>
      <c r="G50" s="284" t="s">
        <v>74</v>
      </c>
      <c r="H50" s="285"/>
      <c r="I50" s="285"/>
      <c r="J50" s="286"/>
      <c r="K50" s="284" t="s">
        <v>75</v>
      </c>
      <c r="L50" s="285"/>
      <c r="M50" s="285"/>
      <c r="N50" s="286"/>
      <c r="O50" s="48" t="s">
        <v>76</v>
      </c>
      <c r="P50" s="123"/>
      <c r="Q50" s="123"/>
      <c r="R50" s="136"/>
      <c r="S50" s="284" t="s">
        <v>77</v>
      </c>
      <c r="T50" s="285"/>
      <c r="U50" s="285"/>
      <c r="V50" s="286"/>
      <c r="W50" s="284" t="s">
        <v>78</v>
      </c>
      <c r="X50" s="285"/>
      <c r="Y50" s="285"/>
      <c r="Z50" s="286"/>
      <c r="AA50" s="281" t="s">
        <v>103</v>
      </c>
      <c r="AB50" s="9"/>
    </row>
    <row r="51" spans="1:28" ht="51" x14ac:dyDescent="0.25">
      <c r="A51" s="325"/>
      <c r="B51" s="329"/>
      <c r="C51" s="330"/>
      <c r="D51" s="331"/>
      <c r="E51" s="291"/>
      <c r="F51" s="277"/>
      <c r="G51" s="47" t="s">
        <v>29</v>
      </c>
      <c r="H51" s="47" t="s">
        <v>13</v>
      </c>
      <c r="I51" s="47" t="s">
        <v>14</v>
      </c>
      <c r="J51" s="47" t="s">
        <v>25</v>
      </c>
      <c r="K51" s="47" t="s">
        <v>12</v>
      </c>
      <c r="L51" s="47" t="s">
        <v>13</v>
      </c>
      <c r="M51" s="47" t="s">
        <v>14</v>
      </c>
      <c r="N51" s="47" t="s">
        <v>25</v>
      </c>
      <c r="O51" s="47" t="s">
        <v>12</v>
      </c>
      <c r="P51" s="47" t="s">
        <v>13</v>
      </c>
      <c r="Q51" s="47" t="s">
        <v>3</v>
      </c>
      <c r="R51" s="47" t="s">
        <v>25</v>
      </c>
      <c r="S51" s="47" t="s">
        <v>12</v>
      </c>
      <c r="T51" s="47" t="s">
        <v>13</v>
      </c>
      <c r="U51" s="47" t="s">
        <v>23</v>
      </c>
      <c r="V51" s="48" t="s">
        <v>25</v>
      </c>
      <c r="W51" s="47" t="s">
        <v>12</v>
      </c>
      <c r="X51" s="47" t="s">
        <v>13</v>
      </c>
      <c r="Y51" s="47" t="s">
        <v>23</v>
      </c>
      <c r="Z51" s="47" t="s">
        <v>25</v>
      </c>
      <c r="AA51" s="281"/>
      <c r="AB51" s="13"/>
    </row>
    <row r="52" spans="1:28" x14ac:dyDescent="0.25">
      <c r="A52" s="56" t="s">
        <v>8</v>
      </c>
      <c r="B52" s="278" t="s">
        <v>72</v>
      </c>
      <c r="C52" s="279"/>
      <c r="D52" s="280"/>
      <c r="E52" s="68" t="s">
        <v>73</v>
      </c>
      <c r="F52" s="69">
        <v>2600</v>
      </c>
      <c r="G52" s="69">
        <v>246</v>
      </c>
      <c r="H52" s="69">
        <f>F52*G52</f>
        <v>639600</v>
      </c>
      <c r="I52" s="69">
        <v>-4</v>
      </c>
      <c r="J52" s="69">
        <f>609988-20000</f>
        <v>589988</v>
      </c>
      <c r="K52" s="69">
        <v>56</v>
      </c>
      <c r="L52" s="69">
        <f>F52*K52</f>
        <v>145600</v>
      </c>
      <c r="M52" s="69">
        <v>60</v>
      </c>
      <c r="N52" s="69">
        <f>250270-20000</f>
        <v>230270</v>
      </c>
      <c r="O52" s="69">
        <v>98</v>
      </c>
      <c r="P52" s="69">
        <f>F52*O52</f>
        <v>254800</v>
      </c>
      <c r="Q52" s="69">
        <v>70</v>
      </c>
      <c r="R52" s="70">
        <f>422920-30000</f>
        <v>392920</v>
      </c>
      <c r="S52" s="69">
        <v>130</v>
      </c>
      <c r="T52" s="69">
        <f>S52*F52</f>
        <v>338000</v>
      </c>
      <c r="U52" s="69">
        <v>10</v>
      </c>
      <c r="V52" s="71">
        <f>466184-50000+57841</f>
        <v>474025</v>
      </c>
      <c r="W52" s="69">
        <v>81</v>
      </c>
      <c r="X52" s="69">
        <f>F52*W52</f>
        <v>210600</v>
      </c>
      <c r="Y52" s="69">
        <v>55</v>
      </c>
      <c r="Z52" s="71">
        <f>369651-30000</f>
        <v>339651</v>
      </c>
      <c r="AA52" s="71">
        <f t="shared" ref="AA52:AA65" si="5">J52+N52+R52+V52+Z52</f>
        <v>2026854</v>
      </c>
      <c r="AB52" s="9"/>
    </row>
    <row r="53" spans="1:28" x14ac:dyDescent="0.25">
      <c r="A53" s="56" t="s">
        <v>17</v>
      </c>
      <c r="B53" s="278" t="s">
        <v>79</v>
      </c>
      <c r="C53" s="279"/>
      <c r="D53" s="280"/>
      <c r="E53" s="69"/>
      <c r="F53" s="69"/>
      <c r="G53" s="69"/>
      <c r="H53" s="69"/>
      <c r="I53" s="69"/>
      <c r="J53" s="69">
        <v>20000</v>
      </c>
      <c r="K53" s="69"/>
      <c r="L53" s="69"/>
      <c r="M53" s="69"/>
      <c r="N53" s="69">
        <v>20000</v>
      </c>
      <c r="O53" s="69"/>
      <c r="P53" s="69"/>
      <c r="Q53" s="69"/>
      <c r="R53" s="70">
        <v>30000</v>
      </c>
      <c r="S53" s="69"/>
      <c r="T53" s="69"/>
      <c r="U53" s="69"/>
      <c r="V53" s="71">
        <v>50000</v>
      </c>
      <c r="W53" s="69"/>
      <c r="X53" s="69"/>
      <c r="Y53" s="69"/>
      <c r="Z53" s="71">
        <v>30000</v>
      </c>
      <c r="AA53" s="71">
        <f t="shared" si="5"/>
        <v>150000</v>
      </c>
      <c r="AB53" s="9"/>
    </row>
    <row r="54" spans="1:28" x14ac:dyDescent="0.25">
      <c r="A54" s="56" t="s">
        <v>20</v>
      </c>
      <c r="B54" s="314" t="s">
        <v>80</v>
      </c>
      <c r="C54" s="315"/>
      <c r="D54" s="316"/>
      <c r="E54" s="68" t="s">
        <v>73</v>
      </c>
      <c r="F54" s="69">
        <v>3500</v>
      </c>
      <c r="G54" s="69"/>
      <c r="H54" s="69">
        <f>F54*G54</f>
        <v>0</v>
      </c>
      <c r="I54" s="282">
        <v>10</v>
      </c>
      <c r="J54" s="282">
        <v>916994</v>
      </c>
      <c r="K54" s="69"/>
      <c r="L54" s="69">
        <f>F54*K54</f>
        <v>0</v>
      </c>
      <c r="M54" s="282">
        <v>70</v>
      </c>
      <c r="N54" s="282">
        <v>322357</v>
      </c>
      <c r="O54" s="69"/>
      <c r="P54" s="69"/>
      <c r="Q54" s="282">
        <v>35</v>
      </c>
      <c r="R54" s="343">
        <f>423252+77504</f>
        <v>500756</v>
      </c>
      <c r="S54" s="69"/>
      <c r="T54" s="69"/>
      <c r="U54" s="282">
        <v>90</v>
      </c>
      <c r="V54" s="343">
        <v>969963</v>
      </c>
      <c r="W54" s="69">
        <v>81</v>
      </c>
      <c r="X54" s="69">
        <f>13.91*85*86</f>
        <v>101682.09999999999</v>
      </c>
      <c r="Y54" s="282">
        <v>72</v>
      </c>
      <c r="Z54" s="343">
        <v>286350</v>
      </c>
      <c r="AA54" s="71">
        <f t="shared" si="5"/>
        <v>2996420</v>
      </c>
      <c r="AB54" s="9"/>
    </row>
    <row r="55" spans="1:28" x14ac:dyDescent="0.25">
      <c r="A55" s="56" t="s">
        <v>27</v>
      </c>
      <c r="B55" s="314" t="s">
        <v>81</v>
      </c>
      <c r="C55" s="315"/>
      <c r="D55" s="316"/>
      <c r="E55" s="68" t="s">
        <v>73</v>
      </c>
      <c r="F55" s="69"/>
      <c r="G55" s="69"/>
      <c r="H55" s="69">
        <f>250*237*13.91</f>
        <v>824167.5</v>
      </c>
      <c r="I55" s="283"/>
      <c r="J55" s="283"/>
      <c r="K55" s="69"/>
      <c r="L55" s="69">
        <f>F54*K52</f>
        <v>196000</v>
      </c>
      <c r="M55" s="283"/>
      <c r="N55" s="283"/>
      <c r="O55" s="69"/>
      <c r="P55" s="69">
        <f>F54*O52</f>
        <v>343000</v>
      </c>
      <c r="Q55" s="283"/>
      <c r="R55" s="344"/>
      <c r="S55" s="69"/>
      <c r="T55" s="69">
        <f>F54*S52</f>
        <v>455000</v>
      </c>
      <c r="U55" s="283"/>
      <c r="V55" s="344"/>
      <c r="W55" s="69"/>
      <c r="X55" s="69">
        <f>250*13.91*86</f>
        <v>299065</v>
      </c>
      <c r="Y55" s="283"/>
      <c r="Z55" s="344"/>
      <c r="AA55" s="71">
        <f t="shared" si="5"/>
        <v>0</v>
      </c>
      <c r="AB55" s="9"/>
    </row>
    <row r="56" spans="1:28" x14ac:dyDescent="0.25">
      <c r="A56" s="56" t="s">
        <v>83</v>
      </c>
      <c r="B56" s="314" t="s">
        <v>84</v>
      </c>
      <c r="C56" s="315"/>
      <c r="D56" s="316"/>
      <c r="E56" s="73" t="s">
        <v>73</v>
      </c>
      <c r="F56" s="69">
        <v>2500</v>
      </c>
      <c r="G56" s="69"/>
      <c r="H56" s="69">
        <f>237*F56</f>
        <v>592500</v>
      </c>
      <c r="I56" s="69">
        <v>8</v>
      </c>
      <c r="J56" s="69">
        <v>643587</v>
      </c>
      <c r="K56" s="69"/>
      <c r="L56" s="69">
        <f>F56*K52</f>
        <v>140000</v>
      </c>
      <c r="M56" s="69"/>
      <c r="N56" s="69">
        <v>370043</v>
      </c>
      <c r="O56" s="69"/>
      <c r="P56" s="69"/>
      <c r="Q56" s="69"/>
      <c r="R56" s="71">
        <v>536452</v>
      </c>
      <c r="S56" s="69"/>
      <c r="T56" s="69">
        <f>F56*S52</f>
        <v>325000</v>
      </c>
      <c r="U56" s="69">
        <v>50</v>
      </c>
      <c r="V56" s="71">
        <v>498913</v>
      </c>
      <c r="W56" s="69">
        <v>81</v>
      </c>
      <c r="X56" s="69">
        <f>W56*F56</f>
        <v>202500</v>
      </c>
      <c r="Y56" s="69">
        <v>30</v>
      </c>
      <c r="Z56" s="71">
        <v>422034</v>
      </c>
      <c r="AA56" s="71">
        <f t="shared" si="5"/>
        <v>2471029</v>
      </c>
      <c r="AB56" s="9"/>
    </row>
    <row r="57" spans="1:28" x14ac:dyDescent="0.25">
      <c r="A57" s="56" t="s">
        <v>85</v>
      </c>
      <c r="B57" s="314" t="s">
        <v>86</v>
      </c>
      <c r="C57" s="315"/>
      <c r="D57" s="316"/>
      <c r="E57" s="73" t="s">
        <v>73</v>
      </c>
      <c r="F57" s="69">
        <v>1000</v>
      </c>
      <c r="G57" s="69"/>
      <c r="H57" s="69">
        <f>G57*F57</f>
        <v>0</v>
      </c>
      <c r="I57" s="69">
        <v>30</v>
      </c>
      <c r="J57" s="74">
        <v>352060</v>
      </c>
      <c r="K57" s="69"/>
      <c r="L57" s="69">
        <f>K57*F57</f>
        <v>0</v>
      </c>
      <c r="M57" s="69"/>
      <c r="N57" s="74">
        <v>187940</v>
      </c>
      <c r="O57" s="69"/>
      <c r="P57" s="69">
        <f>O57*F57</f>
        <v>0</v>
      </c>
      <c r="Q57" s="69"/>
      <c r="R57" s="75">
        <v>145880</v>
      </c>
      <c r="S57" s="69"/>
      <c r="T57" s="69">
        <f>S57*F57</f>
        <v>0</v>
      </c>
      <c r="U57" s="69"/>
      <c r="V57" s="75">
        <v>378800</v>
      </c>
      <c r="W57" s="69">
        <v>81</v>
      </c>
      <c r="X57" s="69">
        <f>W57*F57</f>
        <v>81000</v>
      </c>
      <c r="Y57" s="69"/>
      <c r="Z57" s="75">
        <v>233495</v>
      </c>
      <c r="AA57" s="71">
        <f t="shared" si="5"/>
        <v>1298175</v>
      </c>
      <c r="AB57" s="9"/>
    </row>
    <row r="58" spans="1:28" x14ac:dyDescent="0.25">
      <c r="A58" s="56" t="s">
        <v>87</v>
      </c>
      <c r="B58" s="314" t="s">
        <v>88</v>
      </c>
      <c r="C58" s="315"/>
      <c r="D58" s="316"/>
      <c r="E58" s="73" t="s">
        <v>73</v>
      </c>
      <c r="F58" s="69">
        <v>2500</v>
      </c>
      <c r="G58" s="69"/>
      <c r="H58" s="69">
        <f>G58*F58</f>
        <v>0</v>
      </c>
      <c r="I58" s="69">
        <v>9</v>
      </c>
      <c r="J58" s="69">
        <v>540469</v>
      </c>
      <c r="K58" s="69"/>
      <c r="L58" s="69">
        <f>K57*F58</f>
        <v>0</v>
      </c>
      <c r="M58" s="69"/>
      <c r="N58" s="69">
        <v>295709</v>
      </c>
      <c r="O58" s="69"/>
      <c r="P58" s="69">
        <f>O57*F58</f>
        <v>0</v>
      </c>
      <c r="Q58" s="69"/>
      <c r="R58" s="71">
        <v>353165</v>
      </c>
      <c r="S58" s="69"/>
      <c r="T58" s="69">
        <f>S57*F58</f>
        <v>0</v>
      </c>
      <c r="U58" s="69"/>
      <c r="V58" s="71">
        <v>796043</v>
      </c>
      <c r="W58" s="69"/>
      <c r="X58" s="69">
        <f>W57*F58</f>
        <v>202500</v>
      </c>
      <c r="Y58" s="69"/>
      <c r="Z58" s="71">
        <v>365465</v>
      </c>
      <c r="AA58" s="71">
        <f t="shared" si="5"/>
        <v>2350851</v>
      </c>
      <c r="AB58" s="9"/>
    </row>
    <row r="59" spans="1:28" x14ac:dyDescent="0.25">
      <c r="A59" s="57" t="s">
        <v>89</v>
      </c>
      <c r="B59" s="292" t="s">
        <v>90</v>
      </c>
      <c r="C59" s="293"/>
      <c r="D59" s="294"/>
      <c r="E59" s="76" t="s">
        <v>73</v>
      </c>
      <c r="F59" s="77"/>
      <c r="G59" s="77"/>
      <c r="H59" s="77"/>
      <c r="I59" s="77"/>
      <c r="J59" s="77">
        <f>4005765+66871</f>
        <v>4072636</v>
      </c>
      <c r="K59" s="77"/>
      <c r="L59" s="77"/>
      <c r="M59" s="77"/>
      <c r="N59" s="77">
        <f>3985+46684</f>
        <v>50669</v>
      </c>
      <c r="O59" s="77"/>
      <c r="P59" s="77"/>
      <c r="Q59" s="77"/>
      <c r="R59" s="78">
        <v>14957</v>
      </c>
      <c r="S59" s="77"/>
      <c r="T59" s="77"/>
      <c r="U59" s="77"/>
      <c r="V59" s="78">
        <v>5297625</v>
      </c>
      <c r="W59" s="77"/>
      <c r="X59" s="77"/>
      <c r="Y59" s="77"/>
      <c r="Z59" s="78">
        <f>8440+43471</f>
        <v>51911</v>
      </c>
      <c r="AA59" s="71">
        <f t="shared" si="5"/>
        <v>9487798</v>
      </c>
      <c r="AB59" s="9"/>
    </row>
    <row r="60" spans="1:28" x14ac:dyDescent="0.25">
      <c r="A60" s="56" t="s">
        <v>91</v>
      </c>
      <c r="B60" s="278" t="s">
        <v>92</v>
      </c>
      <c r="C60" s="279"/>
      <c r="D60" s="280"/>
      <c r="E60" s="73" t="s">
        <v>73</v>
      </c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71"/>
      <c r="S60" s="69"/>
      <c r="T60" s="69"/>
      <c r="U60" s="69"/>
      <c r="V60" s="71"/>
      <c r="W60" s="69"/>
      <c r="X60" s="69"/>
      <c r="Y60" s="69"/>
      <c r="Z60" s="71"/>
      <c r="AA60" s="71">
        <f t="shared" si="5"/>
        <v>0</v>
      </c>
      <c r="AB60" s="9"/>
    </row>
    <row r="61" spans="1:28" x14ac:dyDescent="0.25">
      <c r="A61" s="56" t="s">
        <v>93</v>
      </c>
      <c r="B61" s="278" t="s">
        <v>94</v>
      </c>
      <c r="C61" s="279"/>
      <c r="D61" s="280"/>
      <c r="E61" s="73" t="s">
        <v>73</v>
      </c>
      <c r="F61" s="69"/>
      <c r="G61" s="69"/>
      <c r="H61" s="69"/>
      <c r="I61" s="69"/>
      <c r="J61" s="69">
        <v>27100</v>
      </c>
      <c r="K61" s="69"/>
      <c r="L61" s="69"/>
      <c r="M61" s="69"/>
      <c r="N61" s="69">
        <v>20300</v>
      </c>
      <c r="O61" s="69"/>
      <c r="P61" s="69"/>
      <c r="Q61" s="69"/>
      <c r="R61" s="71">
        <v>13196</v>
      </c>
      <c r="S61" s="69"/>
      <c r="T61" s="69"/>
      <c r="U61" s="69"/>
      <c r="V61" s="71">
        <v>48958.81</v>
      </c>
      <c r="W61" s="69"/>
      <c r="X61" s="69"/>
      <c r="Y61" s="69"/>
      <c r="Z61" s="71">
        <v>9860.9500000000007</v>
      </c>
      <c r="AA61" s="71">
        <f t="shared" si="5"/>
        <v>119415.76</v>
      </c>
      <c r="AB61" s="9"/>
    </row>
    <row r="62" spans="1:28" ht="16.5" customHeight="1" x14ac:dyDescent="0.25">
      <c r="A62" s="56">
        <v>11</v>
      </c>
      <c r="B62" s="295" t="s">
        <v>95</v>
      </c>
      <c r="C62" s="295"/>
      <c r="D62" s="295"/>
      <c r="E62" s="73" t="s">
        <v>73</v>
      </c>
      <c r="F62" s="69">
        <v>100</v>
      </c>
      <c r="G62" s="69"/>
      <c r="H62" s="69"/>
      <c r="I62" s="69"/>
      <c r="J62" s="69">
        <v>24648</v>
      </c>
      <c r="K62" s="69"/>
      <c r="L62" s="69"/>
      <c r="M62" s="69"/>
      <c r="N62" s="69">
        <v>6968</v>
      </c>
      <c r="O62" s="69"/>
      <c r="P62" s="69"/>
      <c r="Q62" s="69"/>
      <c r="R62" s="71">
        <v>9568</v>
      </c>
      <c r="S62" s="69"/>
      <c r="T62" s="69"/>
      <c r="U62" s="69"/>
      <c r="V62" s="71">
        <v>14560</v>
      </c>
      <c r="W62" s="69"/>
      <c r="X62" s="69"/>
      <c r="Y62" s="69"/>
      <c r="Z62" s="71">
        <v>8944</v>
      </c>
      <c r="AA62" s="71">
        <f t="shared" si="5"/>
        <v>64688</v>
      </c>
      <c r="AB62" s="9"/>
    </row>
    <row r="63" spans="1:28" ht="16.5" customHeight="1" x14ac:dyDescent="0.25">
      <c r="A63" s="56" t="s">
        <v>100</v>
      </c>
      <c r="B63" s="278" t="s">
        <v>104</v>
      </c>
      <c r="C63" s="279"/>
      <c r="D63" s="280"/>
      <c r="E63" s="73" t="s">
        <v>73</v>
      </c>
      <c r="F63" s="69"/>
      <c r="G63" s="69"/>
      <c r="H63" s="69"/>
      <c r="I63" s="69"/>
      <c r="J63" s="74">
        <f>4565958+1378919+2037000+380100-678600</f>
        <v>7683377</v>
      </c>
      <c r="K63" s="69"/>
      <c r="L63" s="69"/>
      <c r="M63" s="69"/>
      <c r="N63" s="74">
        <f>2101399+634622+1019000+190000-339200</f>
        <v>3605821</v>
      </c>
      <c r="O63" s="69"/>
      <c r="P63" s="69"/>
      <c r="Q63" s="69"/>
      <c r="R63" s="71">
        <f>2439099+736607+809000+152000-271500</f>
        <v>3865206</v>
      </c>
      <c r="S63" s="69"/>
      <c r="T63" s="69"/>
      <c r="U63" s="69"/>
      <c r="V63" s="75">
        <f>5948774-94728.67</f>
        <v>5854045.3300000001</v>
      </c>
      <c r="W63" s="69"/>
      <c r="X63" s="69"/>
      <c r="Y63" s="69"/>
      <c r="Z63" s="75">
        <f>1939695+585788+929000+164700-294000</f>
        <v>3325183</v>
      </c>
      <c r="AA63" s="71">
        <f t="shared" si="5"/>
        <v>24333632.329999998</v>
      </c>
      <c r="AB63" s="9"/>
    </row>
    <row r="64" spans="1:28" ht="16.5" customHeight="1" x14ac:dyDescent="0.25">
      <c r="A64" s="56" t="s">
        <v>101</v>
      </c>
      <c r="B64" s="278" t="s">
        <v>102</v>
      </c>
      <c r="C64" s="279"/>
      <c r="D64" s="280"/>
      <c r="E64" s="73" t="s">
        <v>73</v>
      </c>
      <c r="F64" s="69"/>
      <c r="G64" s="69"/>
      <c r="H64" s="69"/>
      <c r="I64" s="69"/>
      <c r="J64" s="69">
        <v>3573939</v>
      </c>
      <c r="K64" s="69"/>
      <c r="L64" s="69"/>
      <c r="M64" s="69"/>
      <c r="N64" s="69">
        <v>938809</v>
      </c>
      <c r="O64" s="69"/>
      <c r="P64" s="69"/>
      <c r="Q64" s="69"/>
      <c r="R64">
        <v>751968</v>
      </c>
      <c r="S64" s="69"/>
      <c r="T64" s="69"/>
      <c r="U64" s="69"/>
      <c r="V64" s="71">
        <v>2500456</v>
      </c>
      <c r="W64" s="69"/>
      <c r="X64" s="69"/>
      <c r="Y64" s="69"/>
      <c r="Z64" s="71">
        <v>1172280</v>
      </c>
      <c r="AA64" s="71">
        <f t="shared" si="5"/>
        <v>8937452</v>
      </c>
      <c r="AB64" s="9"/>
    </row>
    <row r="65" spans="1:28" x14ac:dyDescent="0.25">
      <c r="A65" s="339" t="s">
        <v>223</v>
      </c>
      <c r="B65" s="339"/>
      <c r="C65" s="339"/>
      <c r="D65" s="339"/>
      <c r="E65" s="79"/>
      <c r="F65" s="80"/>
      <c r="G65" s="80"/>
      <c r="H65" s="80"/>
      <c r="I65" s="80"/>
      <c r="J65" s="80">
        <f>SUM(J52:J64)</f>
        <v>18444798</v>
      </c>
      <c r="K65" s="80"/>
      <c r="L65" s="80"/>
      <c r="M65" s="80"/>
      <c r="N65" s="80">
        <f>SUM(N52:N64)</f>
        <v>6048886</v>
      </c>
      <c r="O65" s="80"/>
      <c r="P65" s="80"/>
      <c r="Q65" s="80"/>
      <c r="R65" s="81">
        <f>SUM(R52:R64)</f>
        <v>6614068</v>
      </c>
      <c r="S65" s="80"/>
      <c r="T65" s="80"/>
      <c r="U65" s="80"/>
      <c r="V65" s="81">
        <f>SUM(V52:V64)</f>
        <v>16883389.140000001</v>
      </c>
      <c r="W65" s="80"/>
      <c r="X65" s="80"/>
      <c r="Y65" s="80"/>
      <c r="Z65" s="80">
        <f>SUM(Z52:Z64)</f>
        <v>6245173.9500000002</v>
      </c>
      <c r="AA65" s="81">
        <f t="shared" si="5"/>
        <v>54236315.090000004</v>
      </c>
      <c r="AB65" s="9"/>
    </row>
    <row r="66" spans="1:28" x14ac:dyDescent="0.25">
      <c r="A66" s="82"/>
      <c r="B66" s="83" t="s">
        <v>114</v>
      </c>
      <c r="C66" s="83"/>
      <c r="D66" s="83"/>
      <c r="E66" s="84"/>
      <c r="F66" s="54"/>
      <c r="G66" s="54"/>
      <c r="H66" s="54"/>
      <c r="I66" s="54"/>
      <c r="J66" s="54">
        <f>J65/G52</f>
        <v>74978.85365853658</v>
      </c>
      <c r="K66" s="54"/>
      <c r="L66" s="54"/>
      <c r="M66" s="54"/>
      <c r="N66" s="54">
        <f>N65/K52</f>
        <v>108015.82142857143</v>
      </c>
      <c r="O66" s="54"/>
      <c r="P66" s="54"/>
      <c r="Q66" s="54"/>
      <c r="R66" s="54">
        <f>R65/O52</f>
        <v>67490.489795918373</v>
      </c>
      <c r="S66" s="54"/>
      <c r="T66" s="54"/>
      <c r="U66" s="54"/>
      <c r="V66" s="54">
        <f>V65/S52</f>
        <v>129872.22415384615</v>
      </c>
      <c r="W66" s="54"/>
      <c r="X66" s="54"/>
      <c r="Y66" s="54"/>
      <c r="Z66" s="54">
        <f>Z65/W52</f>
        <v>77100.912962962961</v>
      </c>
      <c r="AA66" s="54"/>
    </row>
    <row r="67" spans="1:28" x14ac:dyDescent="0.25">
      <c r="A67" s="67"/>
      <c r="B67" s="67"/>
      <c r="C67" s="67"/>
      <c r="D67" s="67"/>
      <c r="E67" s="67"/>
      <c r="F67" s="67"/>
      <c r="G67" s="67"/>
      <c r="H67" s="67"/>
      <c r="I67" s="67"/>
      <c r="J67" s="67" t="s">
        <v>217</v>
      </c>
      <c r="K67" s="67"/>
      <c r="L67" s="67"/>
      <c r="M67" s="67"/>
      <c r="N67" s="67"/>
      <c r="O67" s="67"/>
      <c r="P67" s="88"/>
    </row>
    <row r="68" spans="1:28" x14ac:dyDescent="0.25">
      <c r="A68" s="82"/>
      <c r="B68" s="83"/>
      <c r="C68" s="83"/>
      <c r="D68" s="83"/>
      <c r="E68" s="8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88"/>
      <c r="Q68" s="1"/>
      <c r="R68" s="1"/>
      <c r="S68" s="1"/>
      <c r="T68" s="1"/>
      <c r="V68" s="54"/>
      <c r="W68" s="54"/>
      <c r="X68" s="54"/>
      <c r="Y68" s="54"/>
      <c r="Z68" s="54"/>
      <c r="AA68" s="54"/>
    </row>
    <row r="69" spans="1:28" ht="30" x14ac:dyDescent="0.25">
      <c r="A69" s="376" t="s">
        <v>225</v>
      </c>
      <c r="B69" s="377"/>
      <c r="C69" s="377"/>
      <c r="D69" s="377"/>
      <c r="E69" s="377"/>
      <c r="F69" s="377"/>
      <c r="G69" s="377"/>
      <c r="H69" s="377"/>
      <c r="I69" s="378"/>
      <c r="J69" s="46" t="s">
        <v>192</v>
      </c>
      <c r="K69" s="46" t="s">
        <v>193</v>
      </c>
      <c r="L69" s="46" t="s">
        <v>194</v>
      </c>
      <c r="M69" s="46" t="s">
        <v>195</v>
      </c>
      <c r="N69" s="46" t="s">
        <v>196</v>
      </c>
      <c r="O69" s="46" t="s">
        <v>183</v>
      </c>
      <c r="P69" s="88"/>
      <c r="Q69" s="1"/>
      <c r="R69" s="1"/>
      <c r="S69" s="1"/>
      <c r="T69" s="1"/>
      <c r="V69" s="54"/>
      <c r="W69" s="54"/>
      <c r="X69" s="54"/>
      <c r="Y69" s="54"/>
      <c r="Z69" s="54"/>
      <c r="AA69" s="54"/>
    </row>
    <row r="70" spans="1:28" x14ac:dyDescent="0.25">
      <c r="A70" s="376" t="s">
        <v>170</v>
      </c>
      <c r="B70" s="377"/>
      <c r="C70" s="377"/>
      <c r="D70" s="377"/>
      <c r="E70" s="377"/>
      <c r="F70" s="377"/>
      <c r="G70" s="377"/>
      <c r="H70" s="377"/>
      <c r="I70" s="378"/>
      <c r="J70" s="115">
        <f>SUM(J71:J73)</f>
        <v>1554265</v>
      </c>
      <c r="K70" s="115">
        <f>SUM(K71:K73)</f>
        <v>761187</v>
      </c>
      <c r="L70" s="115">
        <f t="shared" ref="L70:N70" si="6">SUM(L71:L73)</f>
        <v>944729</v>
      </c>
      <c r="M70" s="115">
        <f t="shared" si="6"/>
        <v>1762386.81</v>
      </c>
      <c r="N70" s="115">
        <f t="shared" si="6"/>
        <v>987415.95</v>
      </c>
      <c r="O70" s="115">
        <f>SUM(J70:N70)</f>
        <v>6009983.7600000007</v>
      </c>
      <c r="P70" s="1"/>
      <c r="Q70" s="1"/>
      <c r="V70" s="54"/>
      <c r="W70" s="54"/>
      <c r="X70" s="54"/>
      <c r="Y70" s="54"/>
      <c r="Z70" s="54"/>
      <c r="AA70" s="54"/>
    </row>
    <row r="71" spans="1:28" x14ac:dyDescent="0.25">
      <c r="A71" s="373" t="s">
        <v>178</v>
      </c>
      <c r="B71" s="374"/>
      <c r="C71" s="374"/>
      <c r="D71" s="374"/>
      <c r="E71" s="374"/>
      <c r="F71" s="374"/>
      <c r="G71" s="374"/>
      <c r="H71" s="374"/>
      <c r="I71" s="375"/>
      <c r="J71" s="7"/>
      <c r="K71" s="7"/>
      <c r="L71" s="7"/>
      <c r="M71" s="7"/>
      <c r="N71" s="7"/>
      <c r="O71" s="7"/>
      <c r="P71" s="1"/>
      <c r="Q71" s="1"/>
      <c r="V71" s="54"/>
      <c r="W71" s="54"/>
      <c r="X71" s="54"/>
      <c r="Y71" s="54"/>
      <c r="Z71" s="54"/>
      <c r="AA71" s="54"/>
    </row>
    <row r="72" spans="1:28" x14ac:dyDescent="0.25">
      <c r="A72" s="274" t="s">
        <v>176</v>
      </c>
      <c r="B72" s="369"/>
      <c r="C72" s="369"/>
      <c r="D72" s="369"/>
      <c r="E72" s="369"/>
      <c r="F72" s="369"/>
      <c r="G72" s="369"/>
      <c r="H72" s="369"/>
      <c r="I72" s="275"/>
      <c r="J72" s="35">
        <f>J57+J58+J61</f>
        <v>919629</v>
      </c>
      <c r="K72" s="35">
        <f>N57+N58+N61</f>
        <v>503949</v>
      </c>
      <c r="L72" s="35">
        <f>R57+R58+R61</f>
        <v>512241</v>
      </c>
      <c r="M72" s="35">
        <f>V57+V58+V61</f>
        <v>1223801.81</v>
      </c>
      <c r="N72" s="35">
        <f>Z57+Z58+Z61</f>
        <v>608820.94999999995</v>
      </c>
      <c r="O72" s="35">
        <f t="shared" ref="O72:O79" si="7">SUM(J72:N72)</f>
        <v>3768441.76</v>
      </c>
      <c r="P72" s="1"/>
      <c r="Q72" s="1"/>
    </row>
    <row r="73" spans="1:28" x14ac:dyDescent="0.25">
      <c r="A73" s="274" t="s">
        <v>175</v>
      </c>
      <c r="B73" s="369"/>
      <c r="C73" s="369"/>
      <c r="D73" s="369"/>
      <c r="E73" s="369"/>
      <c r="F73" s="369"/>
      <c r="G73" s="369"/>
      <c r="H73" s="369"/>
      <c r="I73" s="275"/>
      <c r="J73" s="35">
        <f>J52+J53+J62</f>
        <v>634636</v>
      </c>
      <c r="K73" s="35">
        <f>N52+N53+N62</f>
        <v>257238</v>
      </c>
      <c r="L73" s="35">
        <f>R52+R53+R62</f>
        <v>432488</v>
      </c>
      <c r="M73" s="35">
        <f>V52+V53+V62</f>
        <v>538585</v>
      </c>
      <c r="N73" s="35">
        <f>Z52+Z53+Z62</f>
        <v>378595</v>
      </c>
      <c r="O73" s="35">
        <f t="shared" si="7"/>
        <v>2241542</v>
      </c>
      <c r="P73" s="1"/>
      <c r="Q73" s="1"/>
    </row>
    <row r="74" spans="1:28" ht="29.25" customHeight="1" x14ac:dyDescent="0.25">
      <c r="A74" s="370" t="s">
        <v>177</v>
      </c>
      <c r="B74" s="371"/>
      <c r="C74" s="371"/>
      <c r="D74" s="371"/>
      <c r="E74" s="371"/>
      <c r="F74" s="371"/>
      <c r="G74" s="371"/>
      <c r="H74" s="371"/>
      <c r="I74" s="372"/>
      <c r="J74" s="114">
        <f>J75+J76+J82+J83</f>
        <v>16890533</v>
      </c>
      <c r="K74" s="114">
        <f>K75+K76+K82+K83</f>
        <v>5287699</v>
      </c>
      <c r="L74" s="114">
        <f t="shared" ref="L74:N74" si="8">L75+L76+L82+L83</f>
        <v>5669339</v>
      </c>
      <c r="M74" s="114">
        <f t="shared" si="8"/>
        <v>15121002.33</v>
      </c>
      <c r="N74" s="114">
        <f t="shared" si="8"/>
        <v>5257758</v>
      </c>
      <c r="O74" s="114">
        <f t="shared" si="7"/>
        <v>48226331.329999998</v>
      </c>
      <c r="P74" s="54"/>
      <c r="Q74" s="54"/>
      <c r="R74" s="88"/>
      <c r="S74" s="88"/>
    </row>
    <row r="75" spans="1:28" ht="70.5" customHeight="1" x14ac:dyDescent="0.25">
      <c r="A75" s="373" t="s">
        <v>179</v>
      </c>
      <c r="B75" s="374"/>
      <c r="C75" s="374"/>
      <c r="D75" s="374"/>
      <c r="E75" s="374"/>
      <c r="F75" s="374"/>
      <c r="G75" s="374"/>
      <c r="H75" s="374"/>
      <c r="I75" s="375"/>
      <c r="J75" s="113">
        <f>J63</f>
        <v>7683377</v>
      </c>
      <c r="K75" s="113">
        <f>N63</f>
        <v>3605821</v>
      </c>
      <c r="L75" s="113">
        <f>R63</f>
        <v>3865206</v>
      </c>
      <c r="M75" s="113">
        <f>V63</f>
        <v>5854045.3300000001</v>
      </c>
      <c r="N75" s="113">
        <f>Z63</f>
        <v>3325183</v>
      </c>
      <c r="O75" s="113">
        <f t="shared" si="7"/>
        <v>24333632.329999998</v>
      </c>
      <c r="P75" s="54"/>
      <c r="Q75" s="54"/>
      <c r="R75" s="88"/>
      <c r="S75" s="88"/>
    </row>
    <row r="76" spans="1:28" x14ac:dyDescent="0.25">
      <c r="A76" s="274" t="s">
        <v>171</v>
      </c>
      <c r="B76" s="369"/>
      <c r="C76" s="369"/>
      <c r="D76" s="369"/>
      <c r="E76" s="369"/>
      <c r="F76" s="369"/>
      <c r="G76" s="369"/>
      <c r="H76" s="369"/>
      <c r="I76" s="275"/>
      <c r="J76" s="113">
        <f>SUM(J77:J79)</f>
        <v>2455149</v>
      </c>
      <c r="K76" s="113">
        <f t="shared" ref="K76:N76" si="9">SUM(K77:K79)</f>
        <v>662611.80000000005</v>
      </c>
      <c r="L76" s="113">
        <f t="shared" si="9"/>
        <v>518670.4</v>
      </c>
      <c r="M76" s="113">
        <f t="shared" si="9"/>
        <v>1717066.4</v>
      </c>
      <c r="N76" s="113">
        <f t="shared" si="9"/>
        <v>776309</v>
      </c>
      <c r="O76" s="113">
        <f t="shared" si="7"/>
        <v>6129806.5999999996</v>
      </c>
      <c r="P76" s="54"/>
      <c r="Q76" s="54"/>
      <c r="R76" s="88"/>
      <c r="S76" s="88"/>
    </row>
    <row r="77" spans="1:28" x14ac:dyDescent="0.25">
      <c r="A77" s="274" t="s">
        <v>172</v>
      </c>
      <c r="B77" s="369"/>
      <c r="C77" s="369"/>
      <c r="D77" s="369"/>
      <c r="E77" s="369"/>
      <c r="F77" s="369"/>
      <c r="G77" s="369"/>
      <c r="H77" s="369"/>
      <c r="I77" s="275"/>
      <c r="J77" s="35">
        <f>854340*90%</f>
        <v>768906</v>
      </c>
      <c r="K77" s="35">
        <f>252352*90%</f>
        <v>227116.80000000002</v>
      </c>
      <c r="L77" s="35">
        <f>356716*90%</f>
        <v>321044.40000000002</v>
      </c>
      <c r="M77" s="35">
        <f>356096*90%</f>
        <v>320486.40000000002</v>
      </c>
      <c r="N77" s="35">
        <f>178535*90%</f>
        <v>160681.5</v>
      </c>
      <c r="O77" s="35">
        <f t="shared" si="7"/>
        <v>1798235.1</v>
      </c>
      <c r="P77" s="54"/>
      <c r="Q77" s="54"/>
      <c r="R77" s="88"/>
      <c r="S77" s="88"/>
    </row>
    <row r="78" spans="1:28" ht="32.25" customHeight="1" x14ac:dyDescent="0.25">
      <c r="A78" s="274" t="s">
        <v>173</v>
      </c>
      <c r="B78" s="369"/>
      <c r="C78" s="369"/>
      <c r="D78" s="369"/>
      <c r="E78" s="369"/>
      <c r="F78" s="369"/>
      <c r="G78" s="369"/>
      <c r="H78" s="369"/>
      <c r="I78" s="275"/>
      <c r="J78" s="35">
        <f>2066712*50%</f>
        <v>1033356</v>
      </c>
      <c r="K78" s="35">
        <f>501924*50%</f>
        <v>250962</v>
      </c>
      <c r="L78" s="35">
        <f>395252*50%</f>
        <v>197626</v>
      </c>
      <c r="M78" s="35">
        <f>2093612*50%</f>
        <v>1046806</v>
      </c>
      <c r="N78" s="35">
        <f>756235*50%</f>
        <v>378117.5</v>
      </c>
      <c r="O78" s="35">
        <f t="shared" si="7"/>
        <v>2906867.5</v>
      </c>
    </row>
    <row r="79" spans="1:28" x14ac:dyDescent="0.25">
      <c r="A79" s="274" t="s">
        <v>174</v>
      </c>
      <c r="B79" s="369"/>
      <c r="C79" s="369"/>
      <c r="D79" s="369"/>
      <c r="E79" s="369"/>
      <c r="F79" s="369"/>
      <c r="G79" s="369"/>
      <c r="H79" s="369"/>
      <c r="I79" s="275"/>
      <c r="J79" s="35">
        <f>265889+386998</f>
        <v>652887</v>
      </c>
      <c r="K79" s="35">
        <f>75151+109382</f>
        <v>184533</v>
      </c>
      <c r="L79" s="35"/>
      <c r="M79" s="35">
        <f>142446+207328</f>
        <v>349774</v>
      </c>
      <c r="N79" s="35">
        <f>96726+140784</f>
        <v>237510</v>
      </c>
      <c r="O79" s="35">
        <f t="shared" si="7"/>
        <v>1424704</v>
      </c>
      <c r="V79" s="31"/>
    </row>
    <row r="80" spans="1:28" x14ac:dyDescent="0.25">
      <c r="A80" s="274" t="s">
        <v>180</v>
      </c>
      <c r="B80" s="369"/>
      <c r="C80" s="369"/>
      <c r="D80" s="369"/>
      <c r="E80" s="369"/>
      <c r="F80" s="369"/>
      <c r="G80" s="369"/>
      <c r="H80" s="369"/>
      <c r="I80" s="275"/>
      <c r="J80" s="35"/>
      <c r="K80" s="35"/>
      <c r="L80" s="35"/>
      <c r="M80" s="35"/>
      <c r="N80" s="35"/>
      <c r="O80" s="7"/>
      <c r="T80" s="18"/>
    </row>
    <row r="81" spans="1:22" x14ac:dyDescent="0.25">
      <c r="A81" s="274" t="s">
        <v>181</v>
      </c>
      <c r="B81" s="369"/>
      <c r="C81" s="369"/>
      <c r="D81" s="369"/>
      <c r="E81" s="369"/>
      <c r="F81" s="369"/>
      <c r="G81" s="369"/>
      <c r="H81" s="369"/>
      <c r="I81" s="275"/>
      <c r="J81" s="35"/>
      <c r="K81" s="35"/>
      <c r="L81" s="35"/>
      <c r="M81" s="35"/>
      <c r="N81" s="35"/>
      <c r="O81" s="7"/>
    </row>
    <row r="82" spans="1:22" x14ac:dyDescent="0.25">
      <c r="A82" s="364" t="s">
        <v>182</v>
      </c>
      <c r="B82" s="268"/>
      <c r="C82" s="268"/>
      <c r="D82" s="268"/>
      <c r="E82" s="268"/>
      <c r="F82" s="268"/>
      <c r="G82" s="268"/>
      <c r="H82" s="268"/>
      <c r="I82" s="365"/>
      <c r="J82" s="35">
        <f>J54+J56+J59+J64-J77-J78-J79-390778</f>
        <v>6361229</v>
      </c>
      <c r="K82" s="35">
        <f>N54+N56+N64+N59-K76-K83</f>
        <v>879091.19999999995</v>
      </c>
      <c r="L82" s="35">
        <f>R54+R56+R59+R64-L76-390778</f>
        <v>894684.60000000009</v>
      </c>
      <c r="M82" s="35">
        <f>V54+V56+V59+V64-M76-268669</f>
        <v>7281221.5999999996</v>
      </c>
      <c r="N82" s="35">
        <f>Z54+Z56+Z59+Z64-N76-163538</f>
        <v>992728</v>
      </c>
      <c r="O82" s="35">
        <f>SUM(J82:N82)</f>
        <v>16408954.4</v>
      </c>
    </row>
    <row r="83" spans="1:22" x14ac:dyDescent="0.25">
      <c r="A83" s="274" t="s">
        <v>175</v>
      </c>
      <c r="B83" s="369"/>
      <c r="C83" s="369"/>
      <c r="D83" s="369"/>
      <c r="E83" s="369"/>
      <c r="F83" s="369"/>
      <c r="G83" s="369"/>
      <c r="H83" s="369"/>
      <c r="I83" s="275"/>
      <c r="J83" s="35">
        <f>390778</f>
        <v>390778</v>
      </c>
      <c r="K83" s="35">
        <f>140175</f>
        <v>140175</v>
      </c>
      <c r="L83" s="35">
        <v>390778</v>
      </c>
      <c r="M83" s="35">
        <v>268669</v>
      </c>
      <c r="N83" s="35">
        <v>163538</v>
      </c>
      <c r="O83" s="35">
        <f>SUM(J83:N83)</f>
        <v>1353938</v>
      </c>
    </row>
    <row r="84" spans="1:22" x14ac:dyDescent="0.25">
      <c r="A84" s="274" t="s">
        <v>183</v>
      </c>
      <c r="B84" s="369"/>
      <c r="C84" s="369"/>
      <c r="D84" s="369"/>
      <c r="E84" s="369"/>
      <c r="F84" s="369"/>
      <c r="G84" s="369"/>
      <c r="H84" s="369"/>
      <c r="I84" s="275"/>
      <c r="J84" s="35">
        <f>J70+J74</f>
        <v>18444798</v>
      </c>
      <c r="K84" s="35">
        <f t="shared" ref="K84:N84" si="10">K70+K74</f>
        <v>6048886</v>
      </c>
      <c r="L84" s="35">
        <f t="shared" si="10"/>
        <v>6614068</v>
      </c>
      <c r="M84" s="35">
        <f t="shared" si="10"/>
        <v>16883389.140000001</v>
      </c>
      <c r="N84" s="35">
        <f t="shared" si="10"/>
        <v>6245173.9500000002</v>
      </c>
      <c r="O84" s="35">
        <f>SUM(J84:N84)</f>
        <v>54236315.090000004</v>
      </c>
    </row>
    <row r="85" spans="1:22" x14ac:dyDescent="0.25">
      <c r="A85" s="274" t="s">
        <v>184</v>
      </c>
      <c r="B85" s="369"/>
      <c r="C85" s="369"/>
      <c r="D85" s="369"/>
      <c r="E85" s="369"/>
      <c r="F85" s="369"/>
      <c r="G85" s="369"/>
      <c r="H85" s="369"/>
      <c r="I85" s="275"/>
      <c r="J85" s="35">
        <f>J84/G52</f>
        <v>74978.85365853658</v>
      </c>
      <c r="K85" s="35">
        <f>K84/K52</f>
        <v>108015.82142857143</v>
      </c>
      <c r="L85" s="35">
        <f>L84/O52</f>
        <v>67490.489795918373</v>
      </c>
      <c r="M85" s="35">
        <f>M84/S52</f>
        <v>129872.22415384615</v>
      </c>
      <c r="N85" s="35">
        <f>N84/W52</f>
        <v>77100.912962962961</v>
      </c>
      <c r="O85" s="7"/>
    </row>
    <row r="86" spans="1:22" x14ac:dyDescent="0.25">
      <c r="A86" s="10"/>
      <c r="B86" s="10"/>
      <c r="C86" s="10"/>
      <c r="D86" s="10"/>
      <c r="E86" s="10"/>
      <c r="F86" s="10"/>
      <c r="G86" s="10"/>
      <c r="H86" s="10"/>
      <c r="I86" s="10"/>
      <c r="J86" s="107"/>
      <c r="K86" s="107"/>
      <c r="L86" s="107"/>
      <c r="M86" s="107"/>
      <c r="N86" s="107"/>
      <c r="O86" s="9"/>
    </row>
    <row r="87" spans="1:22" x14ac:dyDescent="0.25">
      <c r="A87" s="10"/>
      <c r="B87" s="10"/>
      <c r="C87" s="10"/>
      <c r="D87" s="10"/>
      <c r="E87" s="10"/>
      <c r="F87" s="10"/>
      <c r="G87" s="10"/>
      <c r="H87" s="10"/>
      <c r="I87" s="10"/>
      <c r="J87" s="107"/>
      <c r="K87" s="107"/>
      <c r="L87" s="107"/>
      <c r="M87" s="107"/>
      <c r="N87" s="107"/>
      <c r="O87" s="9"/>
    </row>
    <row r="88" spans="1:22" x14ac:dyDescent="0.25">
      <c r="A88" s="10"/>
      <c r="B88" s="10"/>
      <c r="C88" s="10"/>
      <c r="D88" s="10"/>
      <c r="E88" s="10"/>
      <c r="F88" s="10"/>
      <c r="G88" s="10"/>
      <c r="H88" s="10"/>
      <c r="I88" s="10"/>
      <c r="J88" s="107"/>
      <c r="K88" s="107"/>
      <c r="L88" s="107"/>
      <c r="M88" s="107"/>
      <c r="N88" s="107"/>
      <c r="O88" s="9"/>
    </row>
    <row r="89" spans="1:22" x14ac:dyDescent="0.25">
      <c r="A89" s="10"/>
      <c r="B89" s="10"/>
      <c r="C89" s="10"/>
      <c r="D89" s="10"/>
      <c r="E89" s="10"/>
      <c r="F89" s="10"/>
      <c r="G89" s="10"/>
      <c r="H89" s="10"/>
      <c r="I89" s="10"/>
      <c r="J89" s="107"/>
      <c r="K89" s="107"/>
      <c r="L89" s="107"/>
      <c r="M89" s="107"/>
      <c r="N89" s="107"/>
      <c r="O89" s="9"/>
      <c r="T89" s="18"/>
      <c r="V89" s="18"/>
    </row>
    <row r="90" spans="1:22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1" t="s">
        <v>236</v>
      </c>
      <c r="O90" s="1"/>
    </row>
    <row r="91" spans="1:22" x14ac:dyDescent="0.25">
      <c r="A91" s="82"/>
      <c r="B91" s="83"/>
      <c r="C91" s="83"/>
      <c r="D91" s="83"/>
      <c r="E91" s="84"/>
      <c r="F91" s="54"/>
      <c r="G91" s="54"/>
      <c r="H91" s="54"/>
      <c r="I91" s="54"/>
      <c r="J91" s="54"/>
      <c r="K91" s="54"/>
      <c r="L91" s="54"/>
      <c r="M91" s="54"/>
      <c r="N91" s="1" t="s">
        <v>239</v>
      </c>
      <c r="O91" s="1"/>
    </row>
    <row r="92" spans="1:22" x14ac:dyDescent="0.25">
      <c r="A92" s="34"/>
      <c r="B92" s="32"/>
      <c r="C92" s="32"/>
      <c r="D92" s="32"/>
      <c r="E92" s="33"/>
      <c r="N92" s="1" t="s">
        <v>233</v>
      </c>
      <c r="O92" s="1"/>
    </row>
    <row r="93" spans="1:22" x14ac:dyDescent="0.25">
      <c r="N93" s="1" t="s">
        <v>254</v>
      </c>
      <c r="O93" s="1"/>
    </row>
    <row r="94" spans="1:22" ht="38.25" customHeight="1" x14ac:dyDescent="0.25">
      <c r="A94" s="324" t="s">
        <v>4</v>
      </c>
      <c r="B94" s="326" t="s">
        <v>71</v>
      </c>
      <c r="C94" s="327"/>
      <c r="D94" s="328"/>
      <c r="E94" s="290" t="s">
        <v>2</v>
      </c>
      <c r="F94" s="276" t="s">
        <v>107</v>
      </c>
      <c r="G94" s="281" t="s">
        <v>38</v>
      </c>
      <c r="H94" s="281"/>
      <c r="I94" s="281"/>
      <c r="J94" s="281"/>
      <c r="K94" s="281" t="s">
        <v>39</v>
      </c>
      <c r="L94" s="281"/>
      <c r="M94" s="281"/>
      <c r="N94" s="281"/>
      <c r="O94" s="284" t="s">
        <v>40</v>
      </c>
      <c r="P94" s="285"/>
      <c r="Q94" s="285"/>
      <c r="R94" s="286"/>
      <c r="S94" s="276" t="s">
        <v>110</v>
      </c>
    </row>
    <row r="95" spans="1:22" ht="51" x14ac:dyDescent="0.25">
      <c r="A95" s="325"/>
      <c r="B95" s="329"/>
      <c r="C95" s="330"/>
      <c r="D95" s="331"/>
      <c r="E95" s="291"/>
      <c r="F95" s="277"/>
      <c r="G95" s="47" t="s">
        <v>108</v>
      </c>
      <c r="H95" s="47" t="s">
        <v>13</v>
      </c>
      <c r="I95" s="47" t="s">
        <v>14</v>
      </c>
      <c r="J95" s="47" t="s">
        <v>25</v>
      </c>
      <c r="K95" s="47" t="s">
        <v>12</v>
      </c>
      <c r="L95" s="47" t="s">
        <v>116</v>
      </c>
      <c r="M95" s="47" t="s">
        <v>14</v>
      </c>
      <c r="N95" s="47" t="s">
        <v>25</v>
      </c>
      <c r="O95" s="47" t="s">
        <v>12</v>
      </c>
      <c r="P95" s="47" t="s">
        <v>116</v>
      </c>
      <c r="Q95" s="47" t="s">
        <v>3</v>
      </c>
      <c r="R95" s="47" t="s">
        <v>25</v>
      </c>
      <c r="S95" s="277"/>
    </row>
    <row r="96" spans="1:22" x14ac:dyDescent="0.25">
      <c r="A96" s="49" t="s">
        <v>8</v>
      </c>
      <c r="B96" s="287" t="s">
        <v>72</v>
      </c>
      <c r="C96" s="288"/>
      <c r="D96" s="289"/>
      <c r="E96" s="50" t="s">
        <v>73</v>
      </c>
      <c r="F96" s="85">
        <v>3000</v>
      </c>
      <c r="G96" s="51">
        <v>190</v>
      </c>
      <c r="H96" s="86"/>
      <c r="I96" s="51"/>
      <c r="J96" s="86">
        <f>483228-241800</f>
        <v>241428</v>
      </c>
      <c r="K96" s="51">
        <v>531</v>
      </c>
      <c r="L96" s="85">
        <v>1000</v>
      </c>
      <c r="M96" s="51"/>
      <c r="N96" s="86">
        <f>803993-220000</f>
        <v>583993</v>
      </c>
      <c r="O96" s="51">
        <v>571</v>
      </c>
      <c r="P96" s="85">
        <v>1000</v>
      </c>
      <c r="Q96" s="51">
        <v>28</v>
      </c>
      <c r="R96" s="86">
        <v>879353</v>
      </c>
      <c r="S96" s="86">
        <f t="shared" ref="S96:S108" si="11">J96+N96+R96</f>
        <v>1704774</v>
      </c>
    </row>
    <row r="97" spans="1:19" x14ac:dyDescent="0.25">
      <c r="A97" s="49" t="s">
        <v>17</v>
      </c>
      <c r="B97" s="287" t="s">
        <v>79</v>
      </c>
      <c r="C97" s="288"/>
      <c r="D97" s="289"/>
      <c r="E97" s="50" t="s">
        <v>73</v>
      </c>
      <c r="F97" s="85">
        <v>1100</v>
      </c>
      <c r="G97" s="51"/>
      <c r="H97" s="86"/>
      <c r="I97" s="51"/>
      <c r="J97" s="86">
        <v>350000</v>
      </c>
      <c r="K97" s="51"/>
      <c r="L97" s="85">
        <v>250</v>
      </c>
      <c r="M97" s="51"/>
      <c r="N97" s="86">
        <v>220000</v>
      </c>
      <c r="O97" s="51"/>
      <c r="P97" s="85">
        <v>450</v>
      </c>
      <c r="Q97" s="51"/>
      <c r="R97" s="86">
        <v>200000</v>
      </c>
      <c r="S97" s="86">
        <f t="shared" si="11"/>
        <v>770000</v>
      </c>
    </row>
    <row r="98" spans="1:19" x14ac:dyDescent="0.25">
      <c r="A98" s="49" t="s">
        <v>20</v>
      </c>
      <c r="B98" s="317" t="s">
        <v>105</v>
      </c>
      <c r="C98" s="318"/>
      <c r="D98" s="319"/>
      <c r="E98" s="50" t="s">
        <v>73</v>
      </c>
      <c r="F98" s="85">
        <v>280</v>
      </c>
      <c r="G98" s="51"/>
      <c r="H98" s="86"/>
      <c r="I98" s="51"/>
      <c r="J98" s="86"/>
      <c r="K98" s="51"/>
      <c r="L98" s="85">
        <v>170</v>
      </c>
      <c r="M98" s="51"/>
      <c r="N98" s="86"/>
      <c r="O98" s="51"/>
      <c r="P98" s="85">
        <v>450</v>
      </c>
      <c r="Q98" s="51"/>
      <c r="R98" s="86"/>
      <c r="S98" s="86">
        <f t="shared" si="11"/>
        <v>0</v>
      </c>
    </row>
    <row r="99" spans="1:19" x14ac:dyDescent="0.25">
      <c r="A99" s="49" t="s">
        <v>27</v>
      </c>
      <c r="B99" s="320" t="s">
        <v>102</v>
      </c>
      <c r="C99" s="320"/>
      <c r="D99" s="320"/>
      <c r="E99" s="50" t="s">
        <v>73</v>
      </c>
      <c r="F99" s="86"/>
      <c r="G99" s="51"/>
      <c r="H99" s="86"/>
      <c r="I99" s="51"/>
      <c r="J99" s="86">
        <f>922913-20973</f>
        <v>901940</v>
      </c>
      <c r="K99" s="51"/>
      <c r="L99" s="86"/>
      <c r="M99" s="51"/>
      <c r="N99" s="86">
        <v>354687</v>
      </c>
      <c r="O99" s="51"/>
      <c r="P99" s="86"/>
      <c r="Q99" s="51"/>
      <c r="R99" s="86">
        <f>4332158+219033</f>
        <v>4551191</v>
      </c>
      <c r="S99" s="86">
        <f t="shared" si="11"/>
        <v>5807818</v>
      </c>
    </row>
    <row r="100" spans="1:19" x14ac:dyDescent="0.25">
      <c r="A100" s="49" t="s">
        <v>83</v>
      </c>
      <c r="B100" s="320" t="s">
        <v>106</v>
      </c>
      <c r="C100" s="320"/>
      <c r="D100" s="320"/>
      <c r="E100" s="50" t="s">
        <v>73</v>
      </c>
      <c r="F100" s="85">
        <v>3.3</v>
      </c>
      <c r="G100" s="87">
        <v>54940</v>
      </c>
      <c r="H100" s="88"/>
      <c r="I100" s="51"/>
      <c r="J100" s="86">
        <v>922397</v>
      </c>
      <c r="K100" s="51"/>
      <c r="L100" s="85">
        <v>0.48</v>
      </c>
      <c r="M100" s="51"/>
      <c r="N100" s="86">
        <v>299797</v>
      </c>
      <c r="O100" s="51"/>
      <c r="P100" s="85">
        <v>0.67</v>
      </c>
      <c r="Q100" s="51"/>
      <c r="R100" s="89">
        <v>660000</v>
      </c>
      <c r="S100" s="86">
        <f t="shared" si="11"/>
        <v>1882194</v>
      </c>
    </row>
    <row r="101" spans="1:19" x14ac:dyDescent="0.25">
      <c r="A101" s="49" t="s">
        <v>85</v>
      </c>
      <c r="B101" s="320" t="s">
        <v>109</v>
      </c>
      <c r="C101" s="320"/>
      <c r="D101" s="320"/>
      <c r="E101" s="50" t="s">
        <v>73</v>
      </c>
      <c r="F101" s="85">
        <v>4.9000000000000004</v>
      </c>
      <c r="G101" s="51">
        <v>54940</v>
      </c>
      <c r="H101" s="86"/>
      <c r="I101" s="51"/>
      <c r="J101" s="86"/>
      <c r="K101" s="51"/>
      <c r="L101" s="85">
        <v>0.73</v>
      </c>
      <c r="M101" s="51"/>
      <c r="N101" s="86"/>
      <c r="O101" s="51"/>
      <c r="P101" s="85">
        <v>1.9</v>
      </c>
      <c r="Q101" s="51"/>
      <c r="R101" s="89"/>
      <c r="S101" s="86">
        <f t="shared" si="11"/>
        <v>0</v>
      </c>
    </row>
    <row r="102" spans="1:19" x14ac:dyDescent="0.25">
      <c r="A102" s="63" t="s">
        <v>87</v>
      </c>
      <c r="B102" s="321" t="s">
        <v>84</v>
      </c>
      <c r="C102" s="322"/>
      <c r="D102" s="323"/>
      <c r="E102" s="58" t="s">
        <v>73</v>
      </c>
      <c r="F102" s="90">
        <v>320</v>
      </c>
      <c r="G102" s="59"/>
      <c r="H102" s="91">
        <f>F102*5.46*170</f>
        <v>297024</v>
      </c>
      <c r="I102" s="59"/>
      <c r="J102" s="91">
        <v>396979</v>
      </c>
      <c r="K102" s="54"/>
      <c r="L102" s="90">
        <v>770</v>
      </c>
      <c r="M102" s="59"/>
      <c r="N102" s="91">
        <v>346422</v>
      </c>
      <c r="O102" s="59"/>
      <c r="P102" s="90"/>
      <c r="Q102" s="59"/>
      <c r="R102" s="91">
        <v>570000</v>
      </c>
      <c r="S102" s="86">
        <f t="shared" si="11"/>
        <v>1313401</v>
      </c>
    </row>
    <row r="103" spans="1:19" x14ac:dyDescent="0.25">
      <c r="A103" s="49" t="s">
        <v>89</v>
      </c>
      <c r="B103" s="314" t="s">
        <v>86</v>
      </c>
      <c r="C103" s="315"/>
      <c r="D103" s="316"/>
      <c r="E103" s="58" t="s">
        <v>73</v>
      </c>
      <c r="F103" s="52">
        <v>2.89</v>
      </c>
      <c r="G103" s="51"/>
      <c r="H103" s="86">
        <f>F103*G101</f>
        <v>158776.6</v>
      </c>
      <c r="I103" s="51"/>
      <c r="J103" s="92">
        <v>290600</v>
      </c>
      <c r="K103" s="93"/>
      <c r="L103" s="85">
        <v>0.9</v>
      </c>
      <c r="M103" s="93"/>
      <c r="N103" s="92">
        <v>150000</v>
      </c>
      <c r="O103" s="93"/>
      <c r="P103" s="85">
        <v>0.33</v>
      </c>
      <c r="Q103" s="93"/>
      <c r="R103" s="92"/>
      <c r="S103" s="86">
        <f t="shared" si="11"/>
        <v>440600</v>
      </c>
    </row>
    <row r="104" spans="1:19" x14ac:dyDescent="0.25">
      <c r="A104" s="49" t="s">
        <v>91</v>
      </c>
      <c r="B104" s="314" t="s">
        <v>88</v>
      </c>
      <c r="C104" s="315"/>
      <c r="D104" s="316"/>
      <c r="E104" s="58" t="s">
        <v>73</v>
      </c>
      <c r="F104" s="52">
        <v>5.3</v>
      </c>
      <c r="G104" s="51"/>
      <c r="H104" s="86">
        <f>F104*G101</f>
        <v>291182</v>
      </c>
      <c r="I104" s="51"/>
      <c r="J104" s="92">
        <v>430373</v>
      </c>
      <c r="K104" s="93"/>
      <c r="L104" s="85">
        <v>0.98</v>
      </c>
      <c r="M104" s="93"/>
      <c r="N104" s="92">
        <v>384700</v>
      </c>
      <c r="O104" s="93"/>
      <c r="P104" s="85">
        <v>1.58</v>
      </c>
      <c r="Q104" s="93"/>
      <c r="R104" s="92">
        <v>1105305</v>
      </c>
      <c r="S104" s="86">
        <f t="shared" si="11"/>
        <v>1920378</v>
      </c>
    </row>
    <row r="105" spans="1:19" x14ac:dyDescent="0.25">
      <c r="A105" s="49" t="s">
        <v>93</v>
      </c>
      <c r="B105" s="292" t="s">
        <v>90</v>
      </c>
      <c r="C105" s="293"/>
      <c r="D105" s="294"/>
      <c r="E105" s="58" t="s">
        <v>73</v>
      </c>
      <c r="F105" s="51"/>
      <c r="G105" s="51"/>
      <c r="H105" s="86"/>
      <c r="I105" s="51"/>
      <c r="J105" s="117">
        <f>346814+31347</f>
        <v>378161</v>
      </c>
      <c r="K105" s="93"/>
      <c r="L105" s="92"/>
      <c r="M105" s="93"/>
      <c r="N105" s="117">
        <v>29750</v>
      </c>
      <c r="O105" s="93"/>
      <c r="P105" s="92"/>
      <c r="Q105" s="93"/>
      <c r="R105" s="117">
        <v>4255103</v>
      </c>
      <c r="S105" s="86">
        <f t="shared" si="11"/>
        <v>4663014</v>
      </c>
    </row>
    <row r="106" spans="1:19" x14ac:dyDescent="0.25">
      <c r="A106" s="49">
        <v>11</v>
      </c>
      <c r="B106" s="295" t="s">
        <v>95</v>
      </c>
      <c r="C106" s="295"/>
      <c r="D106" s="295"/>
      <c r="E106" s="58" t="s">
        <v>73</v>
      </c>
      <c r="F106" s="52">
        <v>760</v>
      </c>
      <c r="G106" s="51"/>
      <c r="H106" s="86"/>
      <c r="I106" s="51"/>
      <c r="J106" s="86">
        <v>154960</v>
      </c>
      <c r="K106" s="51"/>
      <c r="L106" s="85">
        <v>920</v>
      </c>
      <c r="M106" s="51"/>
      <c r="N106" s="86">
        <v>187200</v>
      </c>
      <c r="O106" s="51"/>
      <c r="P106" s="85">
        <v>4050</v>
      </c>
      <c r="Q106" s="51"/>
      <c r="R106" s="86">
        <f>1122440+1923400</f>
        <v>3045840</v>
      </c>
      <c r="S106" s="86">
        <f t="shared" si="11"/>
        <v>3388000</v>
      </c>
    </row>
    <row r="107" spans="1:19" x14ac:dyDescent="0.25">
      <c r="A107" s="49" t="s">
        <v>100</v>
      </c>
      <c r="B107" s="278" t="s">
        <v>104</v>
      </c>
      <c r="C107" s="279"/>
      <c r="D107" s="280"/>
      <c r="E107" s="58" t="s">
        <v>73</v>
      </c>
      <c r="F107" s="51"/>
      <c r="G107" s="51"/>
      <c r="I107" s="51"/>
      <c r="J107" s="86">
        <v>21381546</v>
      </c>
      <c r="K107" s="51"/>
      <c r="L107" s="86"/>
      <c r="M107" s="51"/>
      <c r="N107" s="51">
        <f>19864517+2569577</f>
        <v>22434094</v>
      </c>
      <c r="P107" s="86"/>
      <c r="Q107" s="51"/>
      <c r="R107" s="86">
        <v>38439830</v>
      </c>
      <c r="S107" s="86">
        <f t="shared" si="11"/>
        <v>82255470</v>
      </c>
    </row>
    <row r="108" spans="1:19" x14ac:dyDescent="0.25">
      <c r="A108" s="49" t="s">
        <v>101</v>
      </c>
      <c r="B108" s="278" t="s">
        <v>111</v>
      </c>
      <c r="C108" s="279"/>
      <c r="D108" s="280"/>
      <c r="E108" s="58" t="s">
        <v>73</v>
      </c>
      <c r="F108" s="85">
        <v>660</v>
      </c>
      <c r="G108" s="51"/>
      <c r="H108" s="86"/>
      <c r="I108" s="51"/>
      <c r="J108" s="86">
        <v>64886</v>
      </c>
      <c r="K108" s="51"/>
      <c r="L108" s="85">
        <v>215</v>
      </c>
      <c r="M108" s="51"/>
      <c r="N108" s="51">
        <v>128234</v>
      </c>
      <c r="P108" s="85">
        <v>400</v>
      </c>
      <c r="Q108" s="51"/>
      <c r="R108" s="86">
        <v>169331</v>
      </c>
      <c r="S108" s="86">
        <f t="shared" si="11"/>
        <v>362451</v>
      </c>
    </row>
    <row r="109" spans="1:19" x14ac:dyDescent="0.25">
      <c r="A109" s="94"/>
      <c r="B109" s="332" t="s">
        <v>112</v>
      </c>
      <c r="C109" s="333"/>
      <c r="D109" s="334"/>
      <c r="E109" s="65"/>
      <c r="F109" s="95"/>
      <c r="G109" s="65"/>
      <c r="H109" s="95"/>
      <c r="I109" s="65"/>
      <c r="J109" s="95">
        <f>SUM(J96:J108)</f>
        <v>25513270</v>
      </c>
      <c r="K109" s="65"/>
      <c r="L109" s="95"/>
      <c r="M109" s="65"/>
      <c r="N109" s="95">
        <f>SUM(N96:N108)</f>
        <v>25118877</v>
      </c>
      <c r="O109" s="65"/>
      <c r="P109" s="95"/>
      <c r="Q109" s="65"/>
      <c r="R109" s="95">
        <f>SUM(R96:R108)</f>
        <v>53875953</v>
      </c>
      <c r="S109" s="95">
        <f>SUM(S96:S108)</f>
        <v>104508100</v>
      </c>
    </row>
    <row r="110" spans="1:19" x14ac:dyDescent="0.25">
      <c r="A110" s="54"/>
      <c r="B110" s="54" t="s">
        <v>115</v>
      </c>
      <c r="C110" s="54"/>
      <c r="D110" s="54"/>
      <c r="E110" s="54"/>
      <c r="F110" s="54"/>
      <c r="G110" s="54">
        <v>51128</v>
      </c>
      <c r="H110" s="54"/>
      <c r="I110" s="54"/>
      <c r="J110" s="88">
        <f>J109/G96</f>
        <v>134280.36842105264</v>
      </c>
      <c r="K110" s="54">
        <v>310906</v>
      </c>
      <c r="L110" s="54"/>
      <c r="M110" s="54"/>
      <c r="N110" s="88">
        <f>N109/K96</f>
        <v>47304.853107344636</v>
      </c>
      <c r="O110" s="88">
        <v>242736</v>
      </c>
      <c r="P110" s="54"/>
      <c r="Q110" s="54"/>
      <c r="R110" s="88">
        <f>R109/O96</f>
        <v>94353.683012259193</v>
      </c>
      <c r="S110" s="88"/>
    </row>
    <row r="111" spans="1:19" x14ac:dyDescent="0.25">
      <c r="A111" s="54"/>
      <c r="B111" s="54" t="s">
        <v>117</v>
      </c>
      <c r="C111" s="54"/>
      <c r="D111" s="54"/>
      <c r="E111" s="54"/>
      <c r="F111" s="54"/>
      <c r="G111" s="54"/>
      <c r="H111" s="54"/>
      <c r="I111" s="54"/>
      <c r="J111" s="88">
        <f>J109/G110</f>
        <v>499.0077843842904</v>
      </c>
      <c r="K111" s="54"/>
      <c r="L111" s="54"/>
      <c r="M111" s="54"/>
      <c r="N111" s="88">
        <f>N109/K110</f>
        <v>80.792512849542945</v>
      </c>
      <c r="O111" s="54"/>
      <c r="P111" s="54"/>
      <c r="Q111" s="54"/>
      <c r="R111" s="88">
        <f>R109/O110</f>
        <v>221.95287472809966</v>
      </c>
      <c r="S111" s="88"/>
    </row>
    <row r="112" spans="1:19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88"/>
      <c r="K112" s="54"/>
      <c r="L112" s="54"/>
      <c r="M112" s="54"/>
      <c r="N112" s="88"/>
      <c r="O112" s="54"/>
      <c r="P112" s="54"/>
      <c r="Q112" s="54"/>
      <c r="R112" s="88"/>
      <c r="S112" s="88"/>
    </row>
    <row r="113" spans="1:27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88"/>
      <c r="K113" s="54"/>
      <c r="L113" s="54"/>
      <c r="M113" s="54"/>
      <c r="N113" s="88"/>
      <c r="O113" s="54"/>
      <c r="P113" s="54"/>
      <c r="Q113" s="54"/>
      <c r="R113" s="88"/>
      <c r="S113" s="88"/>
    </row>
    <row r="114" spans="1:27" ht="30" x14ac:dyDescent="0.25">
      <c r="A114" s="379" t="s">
        <v>226</v>
      </c>
      <c r="B114" s="380"/>
      <c r="C114" s="380"/>
      <c r="D114" s="380"/>
      <c r="E114" s="380"/>
      <c r="F114" s="380"/>
      <c r="G114" s="380"/>
      <c r="H114" s="380"/>
      <c r="I114" s="381"/>
      <c r="J114" s="46" t="s">
        <v>198</v>
      </c>
      <c r="K114" s="46" t="s">
        <v>199</v>
      </c>
      <c r="L114" s="46" t="s">
        <v>200</v>
      </c>
      <c r="M114" s="46" t="s">
        <v>183</v>
      </c>
      <c r="N114" s="88"/>
      <c r="O114" s="54"/>
      <c r="P114" s="54"/>
      <c r="Q114" s="54"/>
      <c r="R114" s="88"/>
      <c r="S114" s="88"/>
    </row>
    <row r="115" spans="1:27" x14ac:dyDescent="0.25">
      <c r="A115" s="376" t="s">
        <v>170</v>
      </c>
      <c r="B115" s="377"/>
      <c r="C115" s="377"/>
      <c r="D115" s="377"/>
      <c r="E115" s="377"/>
      <c r="F115" s="377"/>
      <c r="G115" s="377"/>
      <c r="H115" s="377"/>
      <c r="I115" s="378"/>
      <c r="J115" s="118">
        <f>SUM(J116:J118)</f>
        <v>14916353.434</v>
      </c>
      <c r="K115" s="118">
        <f t="shared" ref="K115:L115" si="12">SUM(K116:K118)</f>
        <v>17700874.774</v>
      </c>
      <c r="L115" s="118">
        <f t="shared" si="12"/>
        <v>29370711.239999998</v>
      </c>
      <c r="M115" s="115">
        <f>SUM(J115:L115)</f>
        <v>61987939.447999999</v>
      </c>
      <c r="N115" s="88"/>
      <c r="O115" s="54"/>
      <c r="P115" s="54"/>
      <c r="Q115" s="54"/>
      <c r="R115" s="88"/>
      <c r="S115" s="88"/>
    </row>
    <row r="116" spans="1:27" ht="17.25" customHeight="1" x14ac:dyDescent="0.25">
      <c r="A116" s="373" t="s">
        <v>178</v>
      </c>
      <c r="B116" s="374"/>
      <c r="C116" s="374"/>
      <c r="D116" s="374"/>
      <c r="E116" s="374"/>
      <c r="F116" s="374"/>
      <c r="G116" s="374"/>
      <c r="H116" s="374"/>
      <c r="I116" s="375"/>
      <c r="J116" s="7">
        <f>J107*62.9%</f>
        <v>13448992.434</v>
      </c>
      <c r="K116" s="7">
        <f>N107*72.1%</f>
        <v>16174981.774</v>
      </c>
      <c r="L116" s="7">
        <f>R107*62.8%</f>
        <v>24140213.239999998</v>
      </c>
      <c r="M116" s="119">
        <f t="shared" ref="M116:M118" si="13">SUM(J116:L116)</f>
        <v>53764187.447999999</v>
      </c>
      <c r="N116" s="88"/>
      <c r="O116" s="54"/>
      <c r="P116" s="54"/>
      <c r="Q116" s="54"/>
      <c r="R116" s="88"/>
    </row>
    <row r="117" spans="1:27" x14ac:dyDescent="0.25">
      <c r="A117" s="274" t="s">
        <v>176</v>
      </c>
      <c r="B117" s="369"/>
      <c r="C117" s="369"/>
      <c r="D117" s="369"/>
      <c r="E117" s="369"/>
      <c r="F117" s="369"/>
      <c r="G117" s="369"/>
      <c r="H117" s="369"/>
      <c r="I117" s="275"/>
      <c r="J117" s="22">
        <f>J103+J104</f>
        <v>720973</v>
      </c>
      <c r="K117" s="35">
        <f>N103+N104</f>
        <v>534700</v>
      </c>
      <c r="L117" s="35">
        <f>R103+R104</f>
        <v>1105305</v>
      </c>
      <c r="M117" s="119">
        <f t="shared" si="13"/>
        <v>2360978</v>
      </c>
      <c r="N117" s="88"/>
      <c r="O117" s="54"/>
      <c r="P117" s="54"/>
      <c r="Q117" s="54"/>
      <c r="R117" s="88"/>
    </row>
    <row r="118" spans="1:27" x14ac:dyDescent="0.25">
      <c r="A118" s="274" t="s">
        <v>175</v>
      </c>
      <c r="B118" s="369"/>
      <c r="C118" s="369"/>
      <c r="D118" s="369"/>
      <c r="E118" s="369"/>
      <c r="F118" s="369"/>
      <c r="G118" s="369"/>
      <c r="H118" s="369"/>
      <c r="I118" s="275"/>
      <c r="J118" s="35">
        <f>J96+J97+J106</f>
        <v>746388</v>
      </c>
      <c r="K118" s="35">
        <f>N96+N97+N106</f>
        <v>991193</v>
      </c>
      <c r="L118" s="35">
        <f>R96+R97+R106</f>
        <v>4125193</v>
      </c>
      <c r="M118" s="119">
        <f t="shared" si="13"/>
        <v>5862774</v>
      </c>
      <c r="N118" s="88"/>
      <c r="O118" s="54"/>
    </row>
    <row r="119" spans="1:27" x14ac:dyDescent="0.25">
      <c r="A119" s="370" t="s">
        <v>177</v>
      </c>
      <c r="B119" s="371"/>
      <c r="C119" s="371"/>
      <c r="D119" s="371"/>
      <c r="E119" s="371"/>
      <c r="F119" s="371"/>
      <c r="G119" s="371"/>
      <c r="H119" s="371"/>
      <c r="I119" s="372"/>
      <c r="J119" s="114">
        <f>J120+J121+J125+J127+J128</f>
        <v>10596916.566</v>
      </c>
      <c r="K119" s="114">
        <f t="shared" ref="K119:L119" si="14">K120+K121+K125+K127+K128</f>
        <v>7418002.2259999998</v>
      </c>
      <c r="L119" s="114">
        <f t="shared" si="14"/>
        <v>24505241.760000005</v>
      </c>
      <c r="M119" s="114">
        <f>SUM(J119:L119)</f>
        <v>42520160.552000001</v>
      </c>
      <c r="N119" s="88"/>
      <c r="O119" s="54"/>
      <c r="P119" s="67"/>
      <c r="Q119" s="67"/>
      <c r="R119" s="67"/>
      <c r="Y119" s="67"/>
      <c r="Z119" s="67"/>
      <c r="AA119" s="67"/>
    </row>
    <row r="120" spans="1:27" ht="33.75" customHeight="1" x14ac:dyDescent="0.25">
      <c r="A120" s="373" t="s">
        <v>179</v>
      </c>
      <c r="B120" s="374"/>
      <c r="C120" s="374"/>
      <c r="D120" s="374"/>
      <c r="E120" s="374"/>
      <c r="F120" s="374"/>
      <c r="G120" s="374"/>
      <c r="H120" s="374"/>
      <c r="I120" s="375"/>
      <c r="J120" s="113">
        <f>J107-J116</f>
        <v>7932553.5659999996</v>
      </c>
      <c r="K120" s="113">
        <f>N107-K116</f>
        <v>6259112.2259999998</v>
      </c>
      <c r="L120" s="113">
        <f>R107-L116</f>
        <v>14299616.760000002</v>
      </c>
      <c r="M120" s="113">
        <f t="shared" ref="M120:M121" si="15">SUM(J120:L120)</f>
        <v>28491282.552000001</v>
      </c>
      <c r="N120" s="88"/>
      <c r="O120" s="54"/>
      <c r="P120" s="140"/>
      <c r="Q120" s="140"/>
      <c r="R120" s="140"/>
      <c r="S120" s="140"/>
      <c r="T120" s="140"/>
      <c r="U120" s="140"/>
      <c r="V120" s="140"/>
      <c r="W120" s="396"/>
      <c r="X120" s="396"/>
      <c r="Y120" s="396"/>
      <c r="Z120" s="396"/>
      <c r="AA120" s="67"/>
    </row>
    <row r="121" spans="1:27" x14ac:dyDescent="0.25">
      <c r="A121" s="274" t="s">
        <v>171</v>
      </c>
      <c r="B121" s="369"/>
      <c r="C121" s="369"/>
      <c r="D121" s="369"/>
      <c r="E121" s="369"/>
      <c r="F121" s="369"/>
      <c r="G121" s="369"/>
      <c r="H121" s="369"/>
      <c r="I121" s="275"/>
      <c r="J121" s="113">
        <f>SUM(J122:J124)</f>
        <v>503408.7</v>
      </c>
      <c r="K121" s="113">
        <f t="shared" ref="K121:L121" si="16">SUM(K122:K124)</f>
        <v>222399.2</v>
      </c>
      <c r="L121" s="113">
        <f t="shared" si="16"/>
        <v>4191354.1</v>
      </c>
      <c r="M121" s="113">
        <f t="shared" si="15"/>
        <v>4917162</v>
      </c>
      <c r="N121" s="88"/>
      <c r="O121" s="54"/>
      <c r="P121" s="140"/>
      <c r="Q121" s="140"/>
      <c r="R121" s="140"/>
      <c r="S121" s="140"/>
      <c r="T121" s="140"/>
      <c r="U121" s="140"/>
      <c r="V121" s="140"/>
      <c r="W121" s="140"/>
      <c r="X121" s="140"/>
      <c r="Y121" s="140"/>
      <c r="Z121" s="140"/>
      <c r="AA121" s="67"/>
    </row>
    <row r="122" spans="1:27" x14ac:dyDescent="0.25">
      <c r="A122" s="274" t="s">
        <v>172</v>
      </c>
      <c r="B122" s="369"/>
      <c r="C122" s="369"/>
      <c r="D122" s="369"/>
      <c r="E122" s="369"/>
      <c r="F122" s="369"/>
      <c r="G122" s="369"/>
      <c r="H122" s="369"/>
      <c r="I122" s="275"/>
      <c r="J122" s="35">
        <f>19368*90%</f>
        <v>17431.2</v>
      </c>
      <c r="K122" s="35">
        <f>74048*90%</f>
        <v>66643.199999999997</v>
      </c>
      <c r="L122" s="35">
        <f>1230164*90%</f>
        <v>1107147.6000000001</v>
      </c>
      <c r="M122" s="35">
        <f>SUM(J122:L122)</f>
        <v>1191222</v>
      </c>
      <c r="N122" s="88"/>
      <c r="O122" s="54"/>
      <c r="P122" s="141"/>
      <c r="Q122" s="100"/>
      <c r="R122" s="141"/>
      <c r="S122" s="67"/>
      <c r="T122" s="67"/>
      <c r="U122" s="67"/>
      <c r="V122" s="67"/>
      <c r="W122" s="67"/>
      <c r="X122" s="67"/>
      <c r="Y122" s="67"/>
      <c r="Z122" s="67"/>
      <c r="AA122" s="67"/>
    </row>
    <row r="123" spans="1:27" x14ac:dyDescent="0.25">
      <c r="A123" s="274" t="s">
        <v>173</v>
      </c>
      <c r="B123" s="369"/>
      <c r="C123" s="369"/>
      <c r="D123" s="369"/>
      <c r="E123" s="369"/>
      <c r="F123" s="369"/>
      <c r="G123" s="369"/>
      <c r="H123" s="369"/>
      <c r="I123" s="275"/>
      <c r="J123" s="35">
        <f>835135*50%</f>
        <v>417567.5</v>
      </c>
      <c r="K123" s="35">
        <f>249766*50%</f>
        <v>124883</v>
      </c>
      <c r="L123" s="35">
        <f>3000287*50%</f>
        <v>1500143.5</v>
      </c>
      <c r="M123" s="35">
        <f>SUM(J123:L123)</f>
        <v>2042594</v>
      </c>
      <c r="N123" s="88"/>
      <c r="O123" s="54"/>
      <c r="P123" s="141"/>
      <c r="Q123" s="100"/>
      <c r="R123" s="141"/>
      <c r="S123" s="67"/>
      <c r="T123" s="67"/>
      <c r="U123" s="67"/>
      <c r="V123" s="67"/>
      <c r="W123" s="67"/>
      <c r="X123" s="67"/>
      <c r="Y123" s="67"/>
      <c r="Z123" s="67"/>
      <c r="AA123" s="67"/>
    </row>
    <row r="124" spans="1:27" x14ac:dyDescent="0.25">
      <c r="A124" s="274" t="s">
        <v>174</v>
      </c>
      <c r="B124" s="369"/>
      <c r="C124" s="369"/>
      <c r="D124" s="369"/>
      <c r="E124" s="369"/>
      <c r="F124" s="369"/>
      <c r="G124" s="369"/>
      <c r="H124" s="369"/>
      <c r="I124" s="275"/>
      <c r="J124" s="35">
        <f>27860+40550</f>
        <v>68410</v>
      </c>
      <c r="K124" s="35">
        <f>12573+18300</f>
        <v>30873</v>
      </c>
      <c r="L124" s="35">
        <f>615217+968846</f>
        <v>1584063</v>
      </c>
      <c r="M124" s="35">
        <f>SUM(J124:L124)</f>
        <v>1683346</v>
      </c>
      <c r="N124" s="88"/>
      <c r="O124" s="54"/>
      <c r="P124" s="141"/>
      <c r="Q124" s="100"/>
      <c r="S124" s="67"/>
      <c r="T124" s="67"/>
      <c r="U124" s="67"/>
      <c r="V124" s="67"/>
      <c r="W124" s="67"/>
      <c r="X124" s="67"/>
      <c r="Y124" s="67"/>
      <c r="Z124" s="67"/>
      <c r="AA124" s="67"/>
    </row>
    <row r="125" spans="1:27" x14ac:dyDescent="0.25">
      <c r="A125" s="274" t="s">
        <v>180</v>
      </c>
      <c r="B125" s="369"/>
      <c r="C125" s="369"/>
      <c r="D125" s="369"/>
      <c r="E125" s="369"/>
      <c r="F125" s="369"/>
      <c r="G125" s="369"/>
      <c r="H125" s="369"/>
      <c r="I125" s="275"/>
      <c r="J125" s="35">
        <f>J108</f>
        <v>64886</v>
      </c>
      <c r="K125" s="35">
        <f>N108</f>
        <v>128234</v>
      </c>
      <c r="L125" s="35">
        <f>R108</f>
        <v>169331</v>
      </c>
      <c r="M125" s="35">
        <f>SUM(J125:L125)</f>
        <v>362451</v>
      </c>
      <c r="N125" s="88"/>
      <c r="O125" s="54"/>
      <c r="P125" s="141"/>
      <c r="Q125" s="100"/>
      <c r="R125" s="141"/>
      <c r="S125" s="67"/>
      <c r="T125" s="67"/>
      <c r="U125" s="67"/>
      <c r="V125" s="67"/>
      <c r="W125" s="67"/>
      <c r="X125" s="67"/>
      <c r="Y125" s="67"/>
      <c r="Z125" s="67"/>
      <c r="AA125" s="67"/>
    </row>
    <row r="126" spans="1:27" x14ac:dyDescent="0.25">
      <c r="A126" s="274" t="s">
        <v>181</v>
      </c>
      <c r="B126" s="369"/>
      <c r="C126" s="369"/>
      <c r="D126" s="369"/>
      <c r="E126" s="369"/>
      <c r="F126" s="369"/>
      <c r="G126" s="369"/>
      <c r="H126" s="369"/>
      <c r="I126" s="275"/>
      <c r="J126" s="35"/>
      <c r="K126" s="35"/>
      <c r="L126" s="35"/>
      <c r="M126" s="7"/>
      <c r="N126" s="88"/>
      <c r="O126" s="54"/>
      <c r="P126" s="141"/>
      <c r="Q126" s="100"/>
      <c r="R126" s="395"/>
      <c r="S126" s="67"/>
      <c r="T126" s="67"/>
      <c r="U126" s="67"/>
      <c r="V126" s="67"/>
      <c r="W126" s="67"/>
      <c r="X126" s="67"/>
      <c r="Y126" s="67"/>
      <c r="Z126" s="67"/>
      <c r="AA126" s="67"/>
    </row>
    <row r="127" spans="1:27" x14ac:dyDescent="0.25">
      <c r="A127" s="364" t="s">
        <v>182</v>
      </c>
      <c r="B127" s="268"/>
      <c r="C127" s="268"/>
      <c r="D127" s="268"/>
      <c r="E127" s="268"/>
      <c r="F127" s="268"/>
      <c r="G127" s="268"/>
      <c r="H127" s="268"/>
      <c r="I127" s="365"/>
      <c r="J127" s="35">
        <f>J99+J100+J102+J105-J121-J128</f>
        <v>1903327.3</v>
      </c>
      <c r="K127" s="35">
        <f>N99-K121+N100+N102+N105-K128</f>
        <v>597993.80000000005</v>
      </c>
      <c r="L127" s="35">
        <f>R99+-L121+R102+R100+R105-L128</f>
        <v>5460185.9000000004</v>
      </c>
      <c r="M127" s="35">
        <f>SUM(J127:L127)</f>
        <v>7961507</v>
      </c>
      <c r="N127" s="88"/>
      <c r="O127" s="54"/>
      <c r="P127" s="141"/>
      <c r="Q127" s="100"/>
      <c r="R127" s="395"/>
      <c r="S127" s="67"/>
      <c r="T127" s="67"/>
      <c r="U127" s="67"/>
      <c r="W127" s="67"/>
      <c r="X127" s="67"/>
      <c r="Y127" s="67"/>
      <c r="Z127" s="67"/>
      <c r="AA127" s="67"/>
    </row>
    <row r="128" spans="1:27" x14ac:dyDescent="0.25">
      <c r="A128" s="274" t="s">
        <v>175</v>
      </c>
      <c r="B128" s="369"/>
      <c r="C128" s="369"/>
      <c r="D128" s="369"/>
      <c r="E128" s="369"/>
      <c r="F128" s="369"/>
      <c r="G128" s="369"/>
      <c r="H128" s="369"/>
      <c r="I128" s="275"/>
      <c r="J128" s="35">
        <v>192741</v>
      </c>
      <c r="K128" s="35">
        <v>210263</v>
      </c>
      <c r="L128" s="35">
        <v>384754</v>
      </c>
      <c r="M128" s="35">
        <f>SUM(J128:L128)</f>
        <v>787758</v>
      </c>
      <c r="N128" s="88"/>
      <c r="O128" s="54"/>
      <c r="P128" s="141"/>
      <c r="Q128" s="100"/>
      <c r="R128" s="141"/>
      <c r="S128" s="67"/>
      <c r="T128" s="67"/>
      <c r="U128" s="67"/>
      <c r="V128" s="67"/>
      <c r="W128" s="67"/>
      <c r="X128" s="67"/>
      <c r="Y128" s="67"/>
      <c r="Z128" s="67"/>
      <c r="AA128" s="67"/>
    </row>
    <row r="129" spans="1:27" x14ac:dyDescent="0.25">
      <c r="A129" s="274" t="s">
        <v>183</v>
      </c>
      <c r="B129" s="369"/>
      <c r="C129" s="369"/>
      <c r="D129" s="369"/>
      <c r="E129" s="369"/>
      <c r="F129" s="369"/>
      <c r="G129" s="369"/>
      <c r="H129" s="369"/>
      <c r="I129" s="275"/>
      <c r="J129" s="35">
        <f>J115+J119</f>
        <v>25513270</v>
      </c>
      <c r="K129" s="35">
        <f>K115+K119</f>
        <v>25118877</v>
      </c>
      <c r="L129" s="35">
        <f>L115+L119</f>
        <v>53875953</v>
      </c>
      <c r="M129" s="35">
        <f>SUM(J129:L129)</f>
        <v>104508100</v>
      </c>
      <c r="N129" s="88"/>
      <c r="O129" s="54"/>
      <c r="P129" s="141"/>
      <c r="Q129" s="100"/>
      <c r="R129" s="141"/>
      <c r="S129" s="67"/>
      <c r="T129" s="67"/>
      <c r="U129" s="67"/>
      <c r="V129" s="67"/>
      <c r="W129" s="67"/>
      <c r="X129" s="67"/>
      <c r="Y129" s="67"/>
      <c r="Z129" s="67"/>
      <c r="AA129" s="67"/>
    </row>
    <row r="130" spans="1:27" x14ac:dyDescent="0.25">
      <c r="A130" s="274" t="s">
        <v>201</v>
      </c>
      <c r="B130" s="369"/>
      <c r="C130" s="369"/>
      <c r="D130" s="369"/>
      <c r="E130" s="369"/>
      <c r="F130" s="369"/>
      <c r="G130" s="369"/>
      <c r="H130" s="369"/>
      <c r="I130" s="275"/>
      <c r="J130" s="35">
        <f>J129/G110</f>
        <v>499.0077843842904</v>
      </c>
      <c r="K130" s="35">
        <f>K129/K110</f>
        <v>80.792512849542945</v>
      </c>
      <c r="L130" s="35">
        <f>L129/O110</f>
        <v>221.95287472809966</v>
      </c>
      <c r="M130" s="7"/>
      <c r="N130" s="88"/>
      <c r="O130" s="54"/>
      <c r="P130" s="141"/>
      <c r="Q130" s="100"/>
      <c r="R130" s="141"/>
      <c r="S130" s="67"/>
      <c r="T130" s="67"/>
      <c r="U130" s="67"/>
      <c r="V130" s="67"/>
      <c r="W130" s="67"/>
      <c r="X130" s="67"/>
      <c r="Y130" s="67"/>
      <c r="Z130" s="67"/>
      <c r="AA130" s="67"/>
    </row>
    <row r="131" spans="1:27" x14ac:dyDescent="0.25">
      <c r="A131" s="274" t="s">
        <v>202</v>
      </c>
      <c r="B131" s="369"/>
      <c r="C131" s="369"/>
      <c r="D131" s="369"/>
      <c r="E131" s="369"/>
      <c r="F131" s="369"/>
      <c r="G131" s="369"/>
      <c r="H131" s="369"/>
      <c r="I131" s="275"/>
      <c r="J131" s="35">
        <f>J129/G96</f>
        <v>134280.36842105264</v>
      </c>
      <c r="K131" s="35">
        <f>K129/K96</f>
        <v>47304.853107344636</v>
      </c>
      <c r="L131" s="35">
        <f>R109/O96</f>
        <v>94353.683012259193</v>
      </c>
      <c r="M131" s="35"/>
      <c r="N131" s="88"/>
      <c r="O131" s="54"/>
      <c r="P131" s="141"/>
      <c r="Q131" s="100"/>
      <c r="R131" s="141"/>
      <c r="S131" s="67"/>
      <c r="T131" s="67"/>
      <c r="U131" s="67"/>
      <c r="V131" s="67"/>
      <c r="W131" s="67"/>
      <c r="X131" s="67"/>
      <c r="Y131" s="67"/>
      <c r="Z131" s="67"/>
      <c r="AA131" s="67"/>
    </row>
    <row r="132" spans="1:27" x14ac:dyDescent="0.25">
      <c r="A132" s="10"/>
      <c r="B132" s="10"/>
      <c r="C132" s="10"/>
      <c r="D132" s="10"/>
      <c r="E132" s="10"/>
      <c r="F132" s="10"/>
      <c r="G132" s="10"/>
      <c r="H132" s="10"/>
      <c r="I132" s="10"/>
      <c r="J132" s="107"/>
      <c r="K132" s="107"/>
      <c r="L132" s="107"/>
      <c r="M132" s="107"/>
      <c r="N132" s="88"/>
      <c r="O132" s="54"/>
      <c r="P132" s="141"/>
      <c r="Q132" s="100"/>
      <c r="R132" s="141"/>
      <c r="S132" s="67"/>
      <c r="T132" s="67"/>
      <c r="U132" s="67"/>
      <c r="V132" s="67"/>
      <c r="W132" s="67"/>
      <c r="X132" s="67"/>
      <c r="Y132" s="67"/>
      <c r="Z132" s="67"/>
      <c r="AA132" s="67"/>
    </row>
    <row r="133" spans="1:27" x14ac:dyDescent="0.25">
      <c r="A133" s="10"/>
      <c r="B133" s="10"/>
      <c r="C133" s="10"/>
      <c r="D133" s="10"/>
      <c r="E133" s="10"/>
      <c r="F133" s="10"/>
      <c r="G133" s="10"/>
      <c r="H133" s="10"/>
      <c r="I133" s="10"/>
      <c r="J133" s="107"/>
      <c r="K133" s="107"/>
      <c r="L133" s="107"/>
      <c r="M133" s="107"/>
      <c r="N133" s="88"/>
      <c r="O133" s="54"/>
      <c r="P133" s="141"/>
      <c r="Q133" s="100"/>
      <c r="R133" s="1"/>
      <c r="S133" s="1"/>
      <c r="T133" s="1"/>
      <c r="U133" s="1"/>
      <c r="X133" s="67"/>
      <c r="Y133" s="67"/>
      <c r="Z133" s="67"/>
      <c r="AA133" s="67"/>
    </row>
    <row r="134" spans="1:27" x14ac:dyDescent="0.25">
      <c r="A134" s="10"/>
      <c r="B134" s="10"/>
      <c r="C134" s="10"/>
      <c r="D134" s="10"/>
      <c r="E134" s="10"/>
      <c r="F134" s="10"/>
      <c r="G134" s="10"/>
      <c r="H134" s="10"/>
      <c r="I134" s="10"/>
      <c r="J134" s="107"/>
      <c r="K134" s="107"/>
      <c r="L134" s="107"/>
      <c r="M134" s="107"/>
      <c r="N134" s="88"/>
      <c r="O134" s="54"/>
      <c r="P134" s="141"/>
      <c r="Q134" s="100"/>
      <c r="R134" s="1"/>
      <c r="S134" s="1"/>
      <c r="T134" s="1"/>
      <c r="U134" s="1"/>
      <c r="X134" s="67"/>
      <c r="Y134" s="67"/>
      <c r="Z134" s="67"/>
      <c r="AA134" s="67"/>
    </row>
    <row r="135" spans="1:27" x14ac:dyDescent="0.25">
      <c r="A135" s="10"/>
      <c r="B135" s="10"/>
      <c r="C135" s="10"/>
      <c r="D135" s="10"/>
      <c r="E135" s="10"/>
      <c r="F135" s="10"/>
      <c r="G135" s="10"/>
      <c r="H135" s="10"/>
      <c r="I135" s="10"/>
      <c r="J135" s="107"/>
      <c r="K135" s="107"/>
      <c r="L135" s="107"/>
      <c r="M135" s="107"/>
      <c r="N135" s="88"/>
      <c r="O135" s="142"/>
      <c r="P135" s="141"/>
      <c r="Q135" s="100"/>
      <c r="R135" s="1"/>
      <c r="S135" s="1" t="s">
        <v>237</v>
      </c>
      <c r="T135" s="1"/>
      <c r="U135" s="1"/>
      <c r="V135" s="1"/>
      <c r="Y135" s="100"/>
      <c r="Z135" s="100"/>
      <c r="AA135" s="67"/>
    </row>
    <row r="136" spans="1:27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88"/>
      <c r="K136" s="54"/>
      <c r="L136" s="54"/>
      <c r="M136" s="54"/>
      <c r="N136" s="88"/>
      <c r="O136" s="142"/>
      <c r="P136" s="141"/>
      <c r="Q136" s="100"/>
      <c r="R136" s="1"/>
      <c r="S136" s="1" t="s">
        <v>239</v>
      </c>
      <c r="T136" s="1"/>
      <c r="U136" s="1"/>
      <c r="V136" s="1"/>
      <c r="Y136" s="100"/>
      <c r="Z136" s="100"/>
      <c r="AA136" s="67"/>
    </row>
    <row r="137" spans="1:27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88"/>
      <c r="K137" s="54"/>
      <c r="L137" s="54"/>
      <c r="M137" s="54"/>
      <c r="N137" s="88"/>
      <c r="O137" s="54"/>
      <c r="P137" s="97"/>
      <c r="Q137" s="67"/>
      <c r="R137" s="97"/>
      <c r="S137" s="1" t="s">
        <v>233</v>
      </c>
      <c r="T137" s="1"/>
      <c r="U137" s="1"/>
      <c r="V137" s="1"/>
      <c r="AA137" s="67"/>
    </row>
    <row r="138" spans="1:27" x14ac:dyDescent="0.25">
      <c r="P138" s="97"/>
      <c r="Q138" s="67"/>
      <c r="R138" s="97"/>
      <c r="S138" s="1" t="s">
        <v>254</v>
      </c>
      <c r="T138" s="1"/>
      <c r="U138" s="1"/>
      <c r="V138" s="1"/>
      <c r="Y138" s="67"/>
      <c r="Z138" s="67"/>
      <c r="AA138" s="67"/>
    </row>
    <row r="139" spans="1:27" x14ac:dyDescent="0.25">
      <c r="A139" s="67"/>
      <c r="B139" s="67"/>
      <c r="C139" s="67"/>
      <c r="D139" s="67"/>
      <c r="E139" s="67"/>
      <c r="F139" s="67"/>
      <c r="G139" s="67"/>
      <c r="H139" s="67"/>
      <c r="I139" s="67"/>
      <c r="J139" s="67"/>
      <c r="K139" s="67"/>
      <c r="L139" s="67"/>
      <c r="M139" s="67"/>
      <c r="N139" s="67"/>
      <c r="O139" s="67"/>
      <c r="P139" s="67"/>
      <c r="Q139" s="67"/>
      <c r="R139" s="67"/>
      <c r="S139" s="67"/>
      <c r="T139" s="67"/>
      <c r="U139" s="67"/>
      <c r="V139" s="67"/>
      <c r="W139" s="67"/>
      <c r="X139" s="67"/>
      <c r="Y139" s="97"/>
      <c r="Z139" s="97">
        <f>Z135/9836</f>
        <v>0</v>
      </c>
      <c r="AA139" s="97"/>
    </row>
    <row r="140" spans="1:27" ht="38.25" customHeight="1" x14ac:dyDescent="0.25">
      <c r="A140" s="324" t="s">
        <v>4</v>
      </c>
      <c r="B140" s="326" t="s">
        <v>71</v>
      </c>
      <c r="C140" s="327"/>
      <c r="D140" s="328"/>
      <c r="E140" s="290" t="s">
        <v>2</v>
      </c>
      <c r="F140" s="276" t="s">
        <v>123</v>
      </c>
      <c r="G140" s="281" t="s">
        <v>120</v>
      </c>
      <c r="H140" s="281"/>
      <c r="I140" s="281"/>
      <c r="J140" s="281"/>
      <c r="K140" s="281" t="s">
        <v>118</v>
      </c>
      <c r="L140" s="281"/>
      <c r="M140" s="281"/>
      <c r="N140" s="281"/>
      <c r="O140" s="284" t="s">
        <v>119</v>
      </c>
      <c r="P140" s="285"/>
      <c r="Q140" s="285"/>
      <c r="R140" s="286"/>
      <c r="S140" s="284" t="s">
        <v>129</v>
      </c>
      <c r="T140" s="285"/>
      <c r="U140" s="285"/>
      <c r="V140" s="286"/>
      <c r="W140" s="281" t="s">
        <v>130</v>
      </c>
      <c r="X140" s="281"/>
      <c r="Y140" s="281"/>
      <c r="Z140" s="281"/>
      <c r="AA140" s="67"/>
    </row>
    <row r="141" spans="1:27" ht="89.25" x14ac:dyDescent="0.25">
      <c r="A141" s="325"/>
      <c r="B141" s="329"/>
      <c r="C141" s="330"/>
      <c r="D141" s="331"/>
      <c r="E141" s="291"/>
      <c r="F141" s="277"/>
      <c r="G141" s="47" t="s">
        <v>122</v>
      </c>
      <c r="H141" s="47" t="s">
        <v>13</v>
      </c>
      <c r="I141" s="47" t="s">
        <v>14</v>
      </c>
      <c r="J141" s="47" t="s">
        <v>25</v>
      </c>
      <c r="K141" s="47" t="s">
        <v>122</v>
      </c>
      <c r="L141" s="47" t="s">
        <v>116</v>
      </c>
      <c r="M141" s="47" t="s">
        <v>14</v>
      </c>
      <c r="N141" s="47" t="s">
        <v>25</v>
      </c>
      <c r="O141" s="47" t="s">
        <v>12</v>
      </c>
      <c r="P141" s="47" t="s">
        <v>116</v>
      </c>
      <c r="Q141" s="47" t="s">
        <v>3</v>
      </c>
      <c r="R141" s="47" t="s">
        <v>25</v>
      </c>
      <c r="S141" s="47" t="s">
        <v>121</v>
      </c>
      <c r="T141" s="47" t="s">
        <v>116</v>
      </c>
      <c r="U141" s="47" t="s">
        <v>14</v>
      </c>
      <c r="V141" s="47" t="s">
        <v>25</v>
      </c>
      <c r="W141" s="47" t="s">
        <v>121</v>
      </c>
      <c r="X141" s="47" t="s">
        <v>116</v>
      </c>
      <c r="Y141" s="47" t="s">
        <v>3</v>
      </c>
      <c r="Z141" s="47" t="s">
        <v>25</v>
      </c>
      <c r="AA141" s="67"/>
    </row>
    <row r="142" spans="1:27" x14ac:dyDescent="0.25">
      <c r="A142" s="56" t="s">
        <v>8</v>
      </c>
      <c r="B142" s="278" t="s">
        <v>72</v>
      </c>
      <c r="C142" s="279"/>
      <c r="D142" s="280"/>
      <c r="E142" s="68" t="s">
        <v>73</v>
      </c>
      <c r="F142" s="75">
        <v>35000</v>
      </c>
      <c r="G142" s="69">
        <v>7</v>
      </c>
      <c r="H142" s="71">
        <f>F142*G142</f>
        <v>245000</v>
      </c>
      <c r="I142" s="69">
        <v>14</v>
      </c>
      <c r="J142" s="71">
        <f>297236-70000</f>
        <v>227236</v>
      </c>
      <c r="K142" s="74">
        <v>2</v>
      </c>
      <c r="L142" s="75">
        <f>K142*F142</f>
        <v>70000</v>
      </c>
      <c r="M142" s="69">
        <v>13</v>
      </c>
      <c r="N142" s="71">
        <f>85904-25000</f>
        <v>60904</v>
      </c>
      <c r="O142" s="74">
        <v>1</v>
      </c>
      <c r="P142" s="75">
        <v>35000</v>
      </c>
      <c r="Q142" s="74"/>
      <c r="R142" s="75">
        <f>61604</f>
        <v>61604</v>
      </c>
      <c r="S142" s="69" t="s">
        <v>131</v>
      </c>
      <c r="T142" s="69">
        <f>(17*35000)+(3*20000)</f>
        <v>655000</v>
      </c>
      <c r="U142" s="69"/>
      <c r="V142" s="69">
        <f>945365-300000+50155</f>
        <v>695520</v>
      </c>
      <c r="W142" s="69">
        <v>2</v>
      </c>
      <c r="X142" s="69">
        <f>W142*35000</f>
        <v>70000</v>
      </c>
      <c r="Y142" s="69">
        <v>10</v>
      </c>
      <c r="Z142" s="69">
        <v>59798</v>
      </c>
    </row>
    <row r="143" spans="1:27" x14ac:dyDescent="0.25">
      <c r="A143" s="56" t="s">
        <v>17</v>
      </c>
      <c r="B143" s="278" t="s">
        <v>79</v>
      </c>
      <c r="C143" s="279"/>
      <c r="D143" s="280"/>
      <c r="E143" s="68" t="s">
        <v>73</v>
      </c>
      <c r="F143" s="75">
        <v>1325</v>
      </c>
      <c r="G143" s="69">
        <v>41.25</v>
      </c>
      <c r="H143" s="71">
        <f>F143*G143</f>
        <v>54656.25</v>
      </c>
      <c r="I143" s="69">
        <v>45</v>
      </c>
      <c r="J143" s="71">
        <v>70000</v>
      </c>
      <c r="K143" s="74">
        <v>9.5</v>
      </c>
      <c r="L143" s="75">
        <f>1325*9.5</f>
        <v>12587.5</v>
      </c>
      <c r="M143" s="69"/>
      <c r="N143" s="71">
        <v>25000</v>
      </c>
      <c r="O143" s="74">
        <v>6</v>
      </c>
      <c r="P143" s="75">
        <v>7950</v>
      </c>
      <c r="Q143" s="74"/>
      <c r="R143" s="75"/>
      <c r="S143" s="69" t="s">
        <v>132</v>
      </c>
      <c r="T143" s="69"/>
      <c r="U143" s="69"/>
      <c r="V143" s="69">
        <v>300000</v>
      </c>
      <c r="W143" s="69">
        <v>12</v>
      </c>
      <c r="X143" s="69"/>
      <c r="Y143" s="69"/>
      <c r="Z143" s="69"/>
    </row>
    <row r="144" spans="1:27" x14ac:dyDescent="0.25">
      <c r="A144" s="56" t="s">
        <v>20</v>
      </c>
      <c r="B144" s="350" t="s">
        <v>105</v>
      </c>
      <c r="C144" s="351"/>
      <c r="D144" s="352"/>
      <c r="E144" s="68" t="s">
        <v>73</v>
      </c>
      <c r="F144" s="75"/>
      <c r="G144" s="69"/>
      <c r="H144" s="71"/>
      <c r="I144" s="69"/>
      <c r="J144" s="71"/>
      <c r="K144" s="74"/>
      <c r="L144" s="75"/>
      <c r="M144" s="69"/>
      <c r="N144" s="71"/>
      <c r="O144" s="74"/>
      <c r="P144" s="75"/>
      <c r="Q144" s="74"/>
      <c r="S144" s="69"/>
      <c r="T144" s="69"/>
      <c r="U144" s="69"/>
      <c r="V144" s="69"/>
      <c r="W144" s="69"/>
      <c r="X144" s="69"/>
      <c r="Y144" s="69"/>
      <c r="Z144" s="69"/>
    </row>
    <row r="145" spans="1:26" x14ac:dyDescent="0.25">
      <c r="A145" s="56" t="s">
        <v>27</v>
      </c>
      <c r="B145" s="295" t="s">
        <v>102</v>
      </c>
      <c r="C145" s="295"/>
      <c r="D145" s="295"/>
      <c r="E145" s="68" t="s">
        <v>73</v>
      </c>
      <c r="F145" s="75"/>
      <c r="G145" s="69"/>
      <c r="H145" s="71"/>
      <c r="I145" s="69"/>
      <c r="J145" s="71">
        <v>971330</v>
      </c>
      <c r="K145" s="74"/>
      <c r="L145" s="75"/>
      <c r="M145" s="69"/>
      <c r="N145" s="71">
        <v>348890</v>
      </c>
      <c r="O145" s="74"/>
      <c r="P145" s="75"/>
      <c r="Q145" s="74"/>
      <c r="R145" s="75">
        <v>271430</v>
      </c>
      <c r="S145" s="69"/>
      <c r="T145" s="69"/>
      <c r="U145" s="69"/>
      <c r="V145" s="69">
        <v>1119613</v>
      </c>
      <c r="W145" s="69"/>
      <c r="X145" s="69"/>
      <c r="Y145" s="69"/>
      <c r="Z145" s="69">
        <v>606620</v>
      </c>
    </row>
    <row r="146" spans="1:26" x14ac:dyDescent="0.25">
      <c r="A146" s="56" t="s">
        <v>83</v>
      </c>
      <c r="B146" s="295" t="s">
        <v>106</v>
      </c>
      <c r="C146" s="295"/>
      <c r="D146" s="295"/>
      <c r="E146" s="68" t="s">
        <v>73</v>
      </c>
      <c r="F146" s="75">
        <v>250</v>
      </c>
      <c r="G146" s="96">
        <v>1075.7</v>
      </c>
      <c r="H146" s="97">
        <f>G146*F146</f>
        <v>268925</v>
      </c>
      <c r="I146" s="69"/>
      <c r="J146" s="343">
        <v>494236</v>
      </c>
      <c r="K146" s="74">
        <v>381.6</v>
      </c>
      <c r="L146" s="75">
        <f>K146*F146</f>
        <v>95400</v>
      </c>
      <c r="M146" s="69">
        <v>23</v>
      </c>
      <c r="N146" s="343">
        <f>123134</f>
        <v>123134</v>
      </c>
      <c r="O146" s="74">
        <v>262</v>
      </c>
      <c r="P146" s="75">
        <v>65500</v>
      </c>
      <c r="Q146" s="74"/>
      <c r="R146" s="348">
        <v>51419</v>
      </c>
      <c r="S146" s="69">
        <v>1841.8</v>
      </c>
      <c r="T146" s="69">
        <v>400</v>
      </c>
      <c r="U146" s="69"/>
      <c r="V146" s="69">
        <v>985000</v>
      </c>
      <c r="W146" s="69"/>
      <c r="X146" s="69"/>
      <c r="Y146" s="69"/>
      <c r="Z146" s="69">
        <f>192890-46675</f>
        <v>146215</v>
      </c>
    </row>
    <row r="147" spans="1:26" x14ac:dyDescent="0.25">
      <c r="A147" s="56" t="s">
        <v>85</v>
      </c>
      <c r="B147" s="295" t="s">
        <v>109</v>
      </c>
      <c r="C147" s="295"/>
      <c r="D147" s="295"/>
      <c r="E147" s="68" t="s">
        <v>73</v>
      </c>
      <c r="F147" s="75"/>
      <c r="G147" s="69">
        <v>1075.7</v>
      </c>
      <c r="H147" s="97">
        <f>G147*F147</f>
        <v>0</v>
      </c>
      <c r="I147" s="69"/>
      <c r="J147" s="344"/>
      <c r="K147" s="74">
        <v>381.6</v>
      </c>
      <c r="L147" s="75">
        <f>K147*F147</f>
        <v>0</v>
      </c>
      <c r="M147" s="69"/>
      <c r="N147" s="344"/>
      <c r="O147" s="74">
        <v>262</v>
      </c>
      <c r="P147" s="75">
        <f>O167*F167</f>
        <v>0</v>
      </c>
      <c r="Q147" s="74"/>
      <c r="R147" s="349"/>
      <c r="S147" s="69">
        <v>1841.8</v>
      </c>
      <c r="T147" s="69">
        <v>400</v>
      </c>
      <c r="U147" s="69"/>
      <c r="W147" s="69"/>
      <c r="X147" s="69"/>
      <c r="Y147" s="69"/>
      <c r="Z147" s="69"/>
    </row>
    <row r="148" spans="1:26" x14ac:dyDescent="0.25">
      <c r="A148" s="57" t="s">
        <v>87</v>
      </c>
      <c r="B148" s="321" t="s">
        <v>84</v>
      </c>
      <c r="C148" s="322"/>
      <c r="D148" s="323"/>
      <c r="E148" s="98" t="s">
        <v>73</v>
      </c>
      <c r="F148" s="99">
        <v>270</v>
      </c>
      <c r="G148" s="77">
        <v>1075.7</v>
      </c>
      <c r="H148" s="78">
        <f>G148*F148</f>
        <v>290439</v>
      </c>
      <c r="I148" s="77"/>
      <c r="J148" s="78">
        <v>298159</v>
      </c>
      <c r="K148" s="100">
        <v>150</v>
      </c>
      <c r="L148" s="99">
        <f>K147*K148</f>
        <v>57240</v>
      </c>
      <c r="M148" s="77">
        <v>-40</v>
      </c>
      <c r="N148" s="78">
        <f>32890+12189</f>
        <v>45079</v>
      </c>
      <c r="O148" s="101">
        <v>150</v>
      </c>
      <c r="P148" s="99">
        <v>39300</v>
      </c>
      <c r="Q148" s="101"/>
      <c r="R148" s="99">
        <v>20700</v>
      </c>
      <c r="S148" s="69"/>
      <c r="T148" s="69">
        <v>700</v>
      </c>
      <c r="U148" s="69"/>
      <c r="V148" s="69">
        <f>10000+1070081</f>
        <v>1080081</v>
      </c>
      <c r="W148" s="69">
        <v>654.20000000000005</v>
      </c>
      <c r="X148" s="69">
        <v>250</v>
      </c>
      <c r="Y148" s="69"/>
      <c r="Z148" s="69">
        <v>209746</v>
      </c>
    </row>
    <row r="149" spans="1:26" x14ac:dyDescent="0.25">
      <c r="A149" s="56" t="s">
        <v>89</v>
      </c>
      <c r="B149" s="314" t="s">
        <v>86</v>
      </c>
      <c r="C149" s="315"/>
      <c r="D149" s="316"/>
      <c r="E149" s="98" t="s">
        <v>73</v>
      </c>
      <c r="F149" s="74">
        <v>370</v>
      </c>
      <c r="G149" s="69">
        <v>270</v>
      </c>
      <c r="H149" s="71">
        <f>F149*G149</f>
        <v>99900</v>
      </c>
      <c r="I149" s="69"/>
      <c r="J149" s="75">
        <v>100000</v>
      </c>
      <c r="K149" s="74">
        <v>70</v>
      </c>
      <c r="L149" s="75">
        <f>K149*F149</f>
        <v>25900</v>
      </c>
      <c r="M149" s="74">
        <v>-25</v>
      </c>
      <c r="N149" s="75">
        <v>20000</v>
      </c>
      <c r="O149" s="74">
        <v>24</v>
      </c>
      <c r="P149" s="75">
        <v>8880</v>
      </c>
      <c r="Q149" s="74"/>
      <c r="R149" s="75">
        <v>6000</v>
      </c>
      <c r="S149" s="69">
        <v>8160</v>
      </c>
      <c r="T149" s="69">
        <v>86</v>
      </c>
      <c r="U149" s="69"/>
      <c r="V149" s="69">
        <f>359770+152869</f>
        <v>512639</v>
      </c>
      <c r="W149" s="69"/>
      <c r="X149" s="69"/>
      <c r="Y149" s="69"/>
      <c r="Z149" s="69">
        <v>33597</v>
      </c>
    </row>
    <row r="150" spans="1:26" x14ac:dyDescent="0.25">
      <c r="A150" s="56" t="s">
        <v>91</v>
      </c>
      <c r="B150" s="314" t="s">
        <v>88</v>
      </c>
      <c r="C150" s="315"/>
      <c r="D150" s="316"/>
      <c r="E150" s="98" t="s">
        <v>73</v>
      </c>
      <c r="F150" s="74">
        <v>370</v>
      </c>
      <c r="G150" s="69">
        <v>1075.7</v>
      </c>
      <c r="H150" s="71">
        <f>700*G150</f>
        <v>752990</v>
      </c>
      <c r="I150" s="69"/>
      <c r="J150" s="75">
        <v>100000</v>
      </c>
      <c r="K150" s="74">
        <v>381.6</v>
      </c>
      <c r="L150" s="75"/>
      <c r="M150" s="74"/>
      <c r="N150" s="75">
        <v>20000</v>
      </c>
      <c r="O150" s="74">
        <v>262</v>
      </c>
      <c r="P150" s="75">
        <v>52400</v>
      </c>
      <c r="Q150" s="74"/>
      <c r="R150" s="75">
        <v>72600</v>
      </c>
      <c r="S150" s="69"/>
      <c r="T150" s="69">
        <v>72</v>
      </c>
      <c r="U150" s="69"/>
      <c r="V150" s="69">
        <v>582806</v>
      </c>
      <c r="W150" s="69"/>
      <c r="X150" s="69"/>
      <c r="Y150" s="69"/>
      <c r="Z150" s="69">
        <v>36093</v>
      </c>
    </row>
    <row r="151" spans="1:26" x14ac:dyDescent="0.25">
      <c r="A151" s="56" t="s">
        <v>93</v>
      </c>
      <c r="B151" s="292" t="s">
        <v>90</v>
      </c>
      <c r="C151" s="293"/>
      <c r="D151" s="294"/>
      <c r="E151" s="98" t="s">
        <v>73</v>
      </c>
      <c r="F151" s="74"/>
      <c r="G151" s="69"/>
      <c r="H151" s="67"/>
      <c r="I151" s="69"/>
      <c r="J151" s="120">
        <f>33690+17211</f>
        <v>50901</v>
      </c>
      <c r="K151" s="74"/>
      <c r="L151" s="75"/>
      <c r="M151" s="74"/>
      <c r="N151" s="75">
        <f>432101+12189</f>
        <v>444290</v>
      </c>
      <c r="O151" s="74"/>
      <c r="P151" s="75"/>
      <c r="Q151" s="74"/>
      <c r="R151" s="75">
        <v>58072</v>
      </c>
      <c r="S151" s="69"/>
      <c r="T151" s="69"/>
      <c r="U151" s="69"/>
      <c r="V151" s="69">
        <f>451592+24800</f>
        <v>476392</v>
      </c>
      <c r="W151" s="69"/>
      <c r="X151" s="69"/>
      <c r="Y151" s="69"/>
      <c r="Z151" s="69">
        <f>4079+33500</f>
        <v>37579</v>
      </c>
    </row>
    <row r="152" spans="1:26" x14ac:dyDescent="0.25">
      <c r="A152" s="56">
        <v>11</v>
      </c>
      <c r="B152" s="295" t="s">
        <v>95</v>
      </c>
      <c r="C152" s="295"/>
      <c r="D152" s="295"/>
      <c r="E152" s="98" t="s">
        <v>73</v>
      </c>
      <c r="F152" s="74">
        <v>370</v>
      </c>
      <c r="G152" s="69">
        <v>270</v>
      </c>
      <c r="H152" s="71">
        <f>1150*260</f>
        <v>299000</v>
      </c>
      <c r="I152" s="69"/>
      <c r="J152" s="71">
        <v>100000</v>
      </c>
      <c r="K152" s="74">
        <v>70</v>
      </c>
      <c r="L152" s="75">
        <f>F151:F152*K152</f>
        <v>25900</v>
      </c>
      <c r="M152" s="69">
        <v>-42</v>
      </c>
      <c r="N152" s="71">
        <f>447101-N151</f>
        <v>2811</v>
      </c>
      <c r="O152" s="74">
        <v>24</v>
      </c>
      <c r="P152" s="75">
        <v>8880</v>
      </c>
      <c r="Q152" s="74"/>
      <c r="R152" s="75">
        <f>73072-R151</f>
        <v>15000</v>
      </c>
      <c r="S152" s="69"/>
      <c r="T152" s="69"/>
      <c r="U152" s="69"/>
      <c r="V152" s="69">
        <f>586792-V151</f>
        <v>110400</v>
      </c>
      <c r="W152" s="69"/>
      <c r="X152" s="69"/>
      <c r="Y152" s="69"/>
      <c r="Z152" s="69"/>
    </row>
    <row r="153" spans="1:26" x14ac:dyDescent="0.25">
      <c r="A153" s="56" t="s">
        <v>100</v>
      </c>
      <c r="B153" s="278" t="s">
        <v>104</v>
      </c>
      <c r="C153" s="279"/>
      <c r="D153" s="280"/>
      <c r="E153" s="98" t="s">
        <v>73</v>
      </c>
      <c r="F153" s="74"/>
      <c r="G153" s="69"/>
      <c r="H153" s="71"/>
      <c r="I153" s="69"/>
      <c r="J153" s="71">
        <f>27093200-140100</f>
        <v>26953100</v>
      </c>
      <c r="K153" s="74"/>
      <c r="L153" s="75"/>
      <c r="M153" s="69"/>
      <c r="N153" s="71">
        <v>6089790</v>
      </c>
      <c r="O153" s="74"/>
      <c r="P153" s="75"/>
      <c r="Q153" s="74"/>
      <c r="R153" s="75">
        <f>4226656-69521</f>
        <v>4157135</v>
      </c>
      <c r="S153" s="69"/>
      <c r="T153" s="69"/>
      <c r="U153" s="69"/>
      <c r="V153" s="69">
        <f>30601749+2938300</f>
        <v>33540049</v>
      </c>
      <c r="W153" s="69"/>
      <c r="X153" s="69"/>
      <c r="Y153" s="69"/>
      <c r="Z153" s="69">
        <f>7252959+2191731</f>
        <v>9444690</v>
      </c>
    </row>
    <row r="154" spans="1:26" x14ac:dyDescent="0.25">
      <c r="A154" s="56" t="s">
        <v>101</v>
      </c>
      <c r="B154" s="278" t="s">
        <v>111</v>
      </c>
      <c r="C154" s="279"/>
      <c r="D154" s="280"/>
      <c r="E154" s="98" t="s">
        <v>73</v>
      </c>
      <c r="F154" s="75"/>
      <c r="G154" s="69"/>
      <c r="H154" s="71"/>
      <c r="I154" s="69"/>
      <c r="J154" s="71">
        <v>127180</v>
      </c>
      <c r="K154" s="74"/>
      <c r="L154" s="75"/>
      <c r="M154" s="69"/>
      <c r="N154" s="71">
        <v>95000</v>
      </c>
      <c r="O154" s="74"/>
      <c r="P154" s="75"/>
      <c r="Q154" s="74"/>
      <c r="R154" s="75">
        <v>121000</v>
      </c>
      <c r="S154" s="69"/>
      <c r="T154" s="69"/>
      <c r="U154" s="69"/>
      <c r="V154" s="69">
        <v>665000</v>
      </c>
      <c r="W154" s="69"/>
      <c r="X154" s="69"/>
      <c r="Y154" s="69"/>
      <c r="Z154" s="69">
        <v>111362</v>
      </c>
    </row>
    <row r="155" spans="1:26" x14ac:dyDescent="0.25">
      <c r="A155" s="102"/>
      <c r="B155" s="345" t="s">
        <v>112</v>
      </c>
      <c r="C155" s="346"/>
      <c r="D155" s="347"/>
      <c r="E155" s="80"/>
      <c r="F155" s="81"/>
      <c r="G155" s="80"/>
      <c r="H155" s="81"/>
      <c r="I155" s="80"/>
      <c r="J155" s="81">
        <f>SUM(J142:J154)</f>
        <v>29492142</v>
      </c>
      <c r="K155" s="80"/>
      <c r="L155" s="81"/>
      <c r="M155" s="80"/>
      <c r="N155" s="81">
        <f>SUM(N142:N154)</f>
        <v>7274898</v>
      </c>
      <c r="O155" s="80"/>
      <c r="P155" s="81"/>
      <c r="Q155" s="80"/>
      <c r="R155" s="81">
        <f>SUM(R142:R154)</f>
        <v>4834960</v>
      </c>
      <c r="S155" s="80"/>
      <c r="T155" s="80"/>
      <c r="U155" s="80"/>
      <c r="V155" s="80">
        <f>SUM(V142:V154)</f>
        <v>40067500</v>
      </c>
      <c r="W155" s="80"/>
      <c r="X155" s="80"/>
      <c r="Y155" s="80"/>
      <c r="Z155" s="80">
        <f>SUM(Z142:Z154)</f>
        <v>10685700</v>
      </c>
    </row>
    <row r="156" spans="1:26" x14ac:dyDescent="0.25">
      <c r="A156" s="67"/>
      <c r="B156" s="67"/>
      <c r="C156" s="67" t="s">
        <v>227</v>
      </c>
      <c r="D156" s="67"/>
      <c r="E156" s="67"/>
      <c r="F156" s="67"/>
      <c r="G156" s="67"/>
      <c r="H156" s="67"/>
      <c r="I156" s="67"/>
      <c r="J156" s="97">
        <f>(J149+J152)/260</f>
        <v>769.23076923076928</v>
      </c>
      <c r="K156" s="67">
        <v>70</v>
      </c>
      <c r="L156" s="67"/>
      <c r="M156" s="67"/>
      <c r="N156" s="97">
        <f>(N149+N152)/K156</f>
        <v>325.87142857142857</v>
      </c>
      <c r="O156" s="67">
        <v>24</v>
      </c>
      <c r="P156" s="97"/>
      <c r="Q156" s="67"/>
      <c r="R156" s="97">
        <f>(R149+R152)/O156</f>
        <v>875</v>
      </c>
      <c r="S156" s="67">
        <v>74500</v>
      </c>
      <c r="T156" s="67"/>
      <c r="U156" s="67"/>
      <c r="V156" s="97">
        <f>V155/8160</f>
        <v>4910.2328431372553</v>
      </c>
      <c r="W156" s="67" t="s">
        <v>133</v>
      </c>
      <c r="X156" s="67"/>
      <c r="Y156" s="67"/>
      <c r="Z156" s="67"/>
    </row>
    <row r="157" spans="1:26" x14ac:dyDescent="0.25">
      <c r="A157" s="67"/>
      <c r="B157" s="67"/>
      <c r="C157" s="67" t="s">
        <v>126</v>
      </c>
      <c r="D157" s="67"/>
      <c r="E157" s="67"/>
      <c r="F157" s="67"/>
      <c r="G157" s="67"/>
      <c r="H157" s="67"/>
      <c r="I157" s="67"/>
      <c r="J157" s="97">
        <f>(J146+J148+J150+J145)/1075.7</f>
        <v>1732.5694896346565</v>
      </c>
      <c r="K157" s="67"/>
      <c r="L157" s="67"/>
      <c r="M157" s="67"/>
      <c r="N157" s="97">
        <f>(N146+N148+N150+N145)/K147</f>
        <v>1407.5026205450733</v>
      </c>
      <c r="O157" s="67"/>
      <c r="P157" s="97"/>
      <c r="Q157" s="67"/>
      <c r="R157" s="97">
        <f>(R145+R146+R148+R150)/O156</f>
        <v>17339.541666666668</v>
      </c>
      <c r="S157" s="67" t="s">
        <v>134</v>
      </c>
      <c r="T157" s="67"/>
      <c r="U157" s="67"/>
      <c r="V157" s="18">
        <f>V155/S156</f>
        <v>537.81879194630869</v>
      </c>
      <c r="W157" s="67"/>
    </row>
    <row r="158" spans="1:26" x14ac:dyDescent="0.25">
      <c r="A158" s="67"/>
      <c r="B158" s="67"/>
      <c r="C158" s="67" t="s">
        <v>127</v>
      </c>
      <c r="D158" s="67"/>
      <c r="E158" s="67"/>
      <c r="F158" s="67"/>
      <c r="G158" s="67"/>
      <c r="H158" s="67"/>
      <c r="I158" s="67"/>
      <c r="J158" s="97">
        <f>(J142+J143+J153+J154)/41.25</f>
        <v>663697.35757575755</v>
      </c>
      <c r="K158" s="67"/>
      <c r="L158" s="67"/>
      <c r="M158" s="67"/>
      <c r="N158" s="97">
        <f>(N142+N143+N154+N153)/G143</f>
        <v>152016.82424242425</v>
      </c>
      <c r="O158" s="67"/>
      <c r="P158" s="97"/>
      <c r="Q158" s="67"/>
      <c r="R158" s="97">
        <f>(R142+R143+R151+R153+R154)/O143</f>
        <v>732968.5</v>
      </c>
      <c r="S158" s="67"/>
      <c r="T158" s="67"/>
      <c r="U158" s="67"/>
      <c r="V158" s="67"/>
      <c r="W158" s="67" t="s">
        <v>228</v>
      </c>
      <c r="X158" s="67"/>
      <c r="Y158" s="67"/>
      <c r="Z158" s="67"/>
    </row>
    <row r="159" spans="1:26" x14ac:dyDescent="0.25">
      <c r="A159" s="67"/>
      <c r="B159" s="67"/>
      <c r="C159" s="67"/>
      <c r="D159" s="67"/>
      <c r="E159" s="67"/>
      <c r="F159" s="67"/>
      <c r="G159" s="67"/>
      <c r="H159" s="67"/>
      <c r="I159" s="67"/>
      <c r="J159" s="67"/>
      <c r="K159" s="67"/>
      <c r="L159" s="67"/>
      <c r="M159" s="67"/>
      <c r="N159" s="67"/>
      <c r="O159" s="67"/>
    </row>
    <row r="160" spans="1:26" x14ac:dyDescent="0.25">
      <c r="A160" s="67"/>
      <c r="B160" s="67"/>
      <c r="C160" s="67" t="s">
        <v>128</v>
      </c>
      <c r="D160" s="67"/>
      <c r="E160" s="67"/>
      <c r="F160" s="67"/>
      <c r="G160" s="67"/>
      <c r="H160" s="67"/>
      <c r="I160" s="67"/>
      <c r="J160" s="97">
        <f>J155/270</f>
        <v>109230.15555555555</v>
      </c>
      <c r="K160" s="97"/>
      <c r="L160" s="97"/>
      <c r="M160" s="97"/>
      <c r="N160" s="97">
        <f>N155/K152</f>
        <v>103927.11428571428</v>
      </c>
      <c r="O160" s="97"/>
      <c r="P160" s="18"/>
    </row>
    <row r="161" spans="1:16" x14ac:dyDescent="0.25">
      <c r="A161" s="67"/>
      <c r="B161" s="67"/>
      <c r="C161" s="67"/>
      <c r="D161" s="67"/>
      <c r="E161" s="67"/>
      <c r="F161" s="67"/>
      <c r="G161" s="67"/>
      <c r="H161" s="67"/>
      <c r="I161" s="67"/>
      <c r="J161" s="97"/>
      <c r="K161" s="97"/>
      <c r="L161" s="97"/>
      <c r="M161" s="97"/>
      <c r="N161" s="97"/>
      <c r="O161" s="97"/>
    </row>
    <row r="162" spans="1:16" x14ac:dyDescent="0.25">
      <c r="J162" s="18"/>
      <c r="K162" s="18"/>
      <c r="L162" s="18"/>
      <c r="M162" s="18"/>
      <c r="N162" s="18"/>
      <c r="O162" s="18"/>
      <c r="P162" s="31"/>
    </row>
    <row r="163" spans="1:16" x14ac:dyDescent="0.25">
      <c r="J163" s="18"/>
      <c r="K163" s="18"/>
      <c r="L163" s="18"/>
      <c r="M163" s="18"/>
      <c r="N163" s="18"/>
      <c r="O163" s="18"/>
    </row>
    <row r="165" spans="1:16" ht="45" x14ac:dyDescent="0.25">
      <c r="A165" s="376" t="s">
        <v>229</v>
      </c>
      <c r="B165" s="377"/>
      <c r="C165" s="377"/>
      <c r="D165" s="377"/>
      <c r="E165" s="377"/>
      <c r="F165" s="377"/>
      <c r="G165" s="377"/>
      <c r="H165" s="377"/>
      <c r="I165" s="378"/>
      <c r="J165" s="4" t="s">
        <v>204</v>
      </c>
      <c r="K165" s="4" t="s">
        <v>205</v>
      </c>
      <c r="L165" s="46" t="s">
        <v>206</v>
      </c>
      <c r="M165" s="46" t="s">
        <v>207</v>
      </c>
      <c r="N165" s="46" t="s">
        <v>208</v>
      </c>
      <c r="O165" s="4" t="s">
        <v>183</v>
      </c>
    </row>
    <row r="166" spans="1:16" x14ac:dyDescent="0.25">
      <c r="A166" s="376" t="s">
        <v>171</v>
      </c>
      <c r="B166" s="377"/>
      <c r="C166" s="377"/>
      <c r="D166" s="377"/>
      <c r="E166" s="377"/>
      <c r="F166" s="377"/>
      <c r="G166" s="377"/>
      <c r="H166" s="377"/>
      <c r="I166" s="378"/>
      <c r="J166" s="115">
        <f>SUM(J167:J169)</f>
        <v>17389017.300000001</v>
      </c>
      <c r="K166" s="115">
        <f t="shared" ref="K166:N166" si="17">SUM(K167:K169)</f>
        <v>2083537.59</v>
      </c>
      <c r="L166" s="115">
        <f t="shared" si="17"/>
        <v>1812125.2950000002</v>
      </c>
      <c r="M166" s="115">
        <f t="shared" si="17"/>
        <v>28262884.690000001</v>
      </c>
      <c r="N166" s="115">
        <f t="shared" si="17"/>
        <v>4442581.47</v>
      </c>
      <c r="O166" s="115">
        <f t="shared" ref="O166:O176" si="18">SUM(J166:N166)</f>
        <v>53990146.344999999</v>
      </c>
    </row>
    <row r="167" spans="1:16" x14ac:dyDescent="0.25">
      <c r="A167" s="373" t="s">
        <v>178</v>
      </c>
      <c r="B167" s="374"/>
      <c r="C167" s="374"/>
      <c r="D167" s="374"/>
      <c r="E167" s="374"/>
      <c r="F167" s="374"/>
      <c r="G167" s="374"/>
      <c r="H167" s="374"/>
      <c r="I167" s="375"/>
      <c r="J167" s="7">
        <f>J153*62.3%</f>
        <v>16791781.300000001</v>
      </c>
      <c r="K167" s="7">
        <f>N153*32.1%</f>
        <v>1954822.59</v>
      </c>
      <c r="L167" s="7">
        <f>R153*41.7%</f>
        <v>1733525.2950000002</v>
      </c>
      <c r="M167" s="7">
        <f>V153*81%</f>
        <v>27167439.690000001</v>
      </c>
      <c r="N167" s="7">
        <f>Z153*46.3%</f>
        <v>4372891.47</v>
      </c>
      <c r="O167" s="7">
        <f t="shared" si="18"/>
        <v>52020460.344999999</v>
      </c>
    </row>
    <row r="168" spans="1:16" x14ac:dyDescent="0.25">
      <c r="A168" s="274" t="s">
        <v>176</v>
      </c>
      <c r="B168" s="369"/>
      <c r="C168" s="369"/>
      <c r="D168" s="369"/>
      <c r="E168" s="369"/>
      <c r="F168" s="369"/>
      <c r="G168" s="369"/>
      <c r="H168" s="369"/>
      <c r="I168" s="275"/>
      <c r="J168" s="35">
        <f>J149+J150</f>
        <v>200000</v>
      </c>
      <c r="K168" s="35">
        <f>N149+N150</f>
        <v>40000</v>
      </c>
      <c r="L168" s="35">
        <f>R149+R150</f>
        <v>78600</v>
      </c>
      <c r="M168" s="35">
        <f>V149+V150</f>
        <v>1095445</v>
      </c>
      <c r="N168" s="35">
        <f>Z149+Z150</f>
        <v>69690</v>
      </c>
      <c r="O168" s="35">
        <f t="shared" si="18"/>
        <v>1483735</v>
      </c>
    </row>
    <row r="169" spans="1:16" x14ac:dyDescent="0.25">
      <c r="A169" s="274" t="s">
        <v>175</v>
      </c>
      <c r="B169" s="369"/>
      <c r="C169" s="369"/>
      <c r="D169" s="369"/>
      <c r="E169" s="369"/>
      <c r="F169" s="369"/>
      <c r="G169" s="369"/>
      <c r="H169" s="369"/>
      <c r="I169" s="275"/>
      <c r="J169" s="35">
        <f>J142+J143+J152</f>
        <v>397236</v>
      </c>
      <c r="K169" s="35">
        <f>N142+N143+N152</f>
        <v>88715</v>
      </c>
      <c r="L169" s="35">
        <f>R122+R123+R132</f>
        <v>0</v>
      </c>
      <c r="M169" s="35">
        <f>V122+V123+V132</f>
        <v>0</v>
      </c>
      <c r="N169" s="35">
        <f>Z122+Z123+Z132</f>
        <v>0</v>
      </c>
      <c r="O169" s="35">
        <f t="shared" si="18"/>
        <v>485951</v>
      </c>
    </row>
    <row r="170" spans="1:16" x14ac:dyDescent="0.25">
      <c r="A170" s="370" t="s">
        <v>177</v>
      </c>
      <c r="B170" s="371"/>
      <c r="C170" s="371"/>
      <c r="D170" s="371"/>
      <c r="E170" s="371"/>
      <c r="F170" s="371"/>
      <c r="G170" s="371"/>
      <c r="H170" s="371"/>
      <c r="I170" s="372"/>
      <c r="J170" s="114">
        <f>J171+J172+J176+J178+J179</f>
        <v>12103124.699999999</v>
      </c>
      <c r="K170" s="114">
        <f t="shared" ref="K170:N170" si="19">K171+K172+K176+K178+K179</f>
        <v>5191360.41</v>
      </c>
      <c r="L170" s="114">
        <f>L171+L172+L176+L178+L179</f>
        <v>3022834.7050000001</v>
      </c>
      <c r="M170" s="114">
        <f t="shared" si="19"/>
        <v>11804615.309999999</v>
      </c>
      <c r="N170" s="114">
        <f t="shared" si="19"/>
        <v>6243118.5300000003</v>
      </c>
      <c r="O170" s="114">
        <f t="shared" si="18"/>
        <v>38365053.654999994</v>
      </c>
    </row>
    <row r="171" spans="1:16" x14ac:dyDescent="0.25">
      <c r="A171" s="373" t="s">
        <v>179</v>
      </c>
      <c r="B171" s="374"/>
      <c r="C171" s="374"/>
      <c r="D171" s="374"/>
      <c r="E171" s="374"/>
      <c r="F171" s="374"/>
      <c r="G171" s="374"/>
      <c r="H171" s="374"/>
      <c r="I171" s="375"/>
      <c r="J171" s="113">
        <f>J153-J167</f>
        <v>10161318.699999999</v>
      </c>
      <c r="K171" s="113">
        <f>N153-K167</f>
        <v>4134967.41</v>
      </c>
      <c r="L171" s="113">
        <f>R153-L167</f>
        <v>2423609.7050000001</v>
      </c>
      <c r="M171" s="113">
        <f>V153-M167</f>
        <v>6372609.3099999987</v>
      </c>
      <c r="N171" s="113">
        <f>Z153-N167</f>
        <v>5071798.53</v>
      </c>
      <c r="O171" s="113">
        <f t="shared" si="18"/>
        <v>28164303.655000001</v>
      </c>
    </row>
    <row r="172" spans="1:16" x14ac:dyDescent="0.25">
      <c r="A172" s="274" t="s">
        <v>171</v>
      </c>
      <c r="B172" s="369"/>
      <c r="C172" s="369"/>
      <c r="D172" s="369"/>
      <c r="E172" s="369"/>
      <c r="F172" s="369"/>
      <c r="G172" s="369"/>
      <c r="H172" s="369"/>
      <c r="I172" s="275"/>
      <c r="J172" s="113">
        <f>SUM(J173:J175)</f>
        <v>806810.2</v>
      </c>
      <c r="K172" s="113">
        <f t="shared" ref="K172:N172" si="20">SUM(K173:K175)</f>
        <v>217341.9</v>
      </c>
      <c r="L172" s="113">
        <f t="shared" si="20"/>
        <v>296001</v>
      </c>
      <c r="M172" s="113">
        <f t="shared" si="20"/>
        <v>800419.9</v>
      </c>
      <c r="N172" s="113">
        <f t="shared" si="20"/>
        <v>377829.5</v>
      </c>
      <c r="O172" s="113">
        <f t="shared" si="18"/>
        <v>2498402.5</v>
      </c>
    </row>
    <row r="173" spans="1:16" x14ac:dyDescent="0.25">
      <c r="A173" s="274" t="s">
        <v>172</v>
      </c>
      <c r="B173" s="369"/>
      <c r="C173" s="369"/>
      <c r="D173" s="369"/>
      <c r="E173" s="369"/>
      <c r="F173" s="369"/>
      <c r="G173" s="369"/>
      <c r="H173" s="369"/>
      <c r="I173" s="275"/>
      <c r="J173" s="35">
        <f>152523*90%</f>
        <v>137270.70000000001</v>
      </c>
      <c r="K173" s="35">
        <f>57581*90%</f>
        <v>51822.9</v>
      </c>
      <c r="L173" s="35">
        <f>20535*90%</f>
        <v>18481.5</v>
      </c>
      <c r="M173" s="35">
        <f>163486*90%</f>
        <v>147137.4</v>
      </c>
      <c r="N173" s="35">
        <f>54140*90%</f>
        <v>48726</v>
      </c>
      <c r="O173" s="35">
        <f t="shared" si="18"/>
        <v>403438.5</v>
      </c>
    </row>
    <row r="174" spans="1:16" x14ac:dyDescent="0.25">
      <c r="A174" s="274" t="s">
        <v>173</v>
      </c>
      <c r="B174" s="369"/>
      <c r="C174" s="369"/>
      <c r="D174" s="369"/>
      <c r="E174" s="369"/>
      <c r="F174" s="369"/>
      <c r="G174" s="369"/>
      <c r="H174" s="369"/>
      <c r="I174" s="275"/>
      <c r="J174" s="35">
        <f>1122969*50%</f>
        <v>561484.5</v>
      </c>
      <c r="K174" s="35">
        <f>294552*50%</f>
        <v>147276</v>
      </c>
      <c r="L174" s="35">
        <f>546753*50%</f>
        <v>273376.5</v>
      </c>
      <c r="M174" s="35">
        <f>1290405*50%</f>
        <v>645202.5</v>
      </c>
      <c r="N174" s="35">
        <f>609093*50%</f>
        <v>304546.5</v>
      </c>
      <c r="O174" s="35">
        <f t="shared" si="18"/>
        <v>1931886</v>
      </c>
    </row>
    <row r="175" spans="1:16" x14ac:dyDescent="0.25">
      <c r="A175" s="274" t="s">
        <v>174</v>
      </c>
      <c r="B175" s="369"/>
      <c r="C175" s="369"/>
      <c r="D175" s="369"/>
      <c r="E175" s="369"/>
      <c r="F175" s="369"/>
      <c r="G175" s="369"/>
      <c r="H175" s="369"/>
      <c r="I175" s="275"/>
      <c r="J175" s="35">
        <f>44005+64050</f>
        <v>108055</v>
      </c>
      <c r="K175" s="35">
        <f>7429+10814</f>
        <v>18243</v>
      </c>
      <c r="L175" s="35">
        <v>4143</v>
      </c>
      <c r="M175" s="35">
        <f>3714+4366</f>
        <v>8080</v>
      </c>
      <c r="N175" s="35">
        <f>10001+14556</f>
        <v>24557</v>
      </c>
      <c r="O175" s="35">
        <f t="shared" si="18"/>
        <v>163078</v>
      </c>
    </row>
    <row r="176" spans="1:16" x14ac:dyDescent="0.25">
      <c r="A176" s="274" t="s">
        <v>180</v>
      </c>
      <c r="B176" s="369"/>
      <c r="C176" s="369"/>
      <c r="D176" s="369"/>
      <c r="E176" s="369"/>
      <c r="F176" s="369"/>
      <c r="G176" s="369"/>
      <c r="H176" s="369"/>
      <c r="I176" s="275"/>
      <c r="J176" s="35">
        <f>J154</f>
        <v>127180</v>
      </c>
      <c r="K176" s="35">
        <f>N154</f>
        <v>95000</v>
      </c>
      <c r="L176" s="35">
        <f>R134</f>
        <v>0</v>
      </c>
      <c r="M176" s="35">
        <f>V134</f>
        <v>0</v>
      </c>
      <c r="N176" s="35">
        <f>Z154</f>
        <v>111362</v>
      </c>
      <c r="O176" s="35">
        <f t="shared" si="18"/>
        <v>333542</v>
      </c>
    </row>
    <row r="177" spans="1:16" x14ac:dyDescent="0.25">
      <c r="A177" s="274" t="s">
        <v>181</v>
      </c>
      <c r="B177" s="369"/>
      <c r="C177" s="369"/>
      <c r="D177" s="369"/>
      <c r="E177" s="369"/>
      <c r="F177" s="369"/>
      <c r="G177" s="369"/>
      <c r="H177" s="369"/>
      <c r="I177" s="275"/>
      <c r="J177" s="35"/>
      <c r="K177" s="35"/>
      <c r="L177" s="35"/>
      <c r="M177" s="35"/>
      <c r="N177" s="35"/>
      <c r="O177" s="7"/>
    </row>
    <row r="178" spans="1:16" x14ac:dyDescent="0.25">
      <c r="A178" s="364" t="s">
        <v>182</v>
      </c>
      <c r="B178" s="268"/>
      <c r="C178" s="268"/>
      <c r="D178" s="268"/>
      <c r="E178" s="268"/>
      <c r="F178" s="268"/>
      <c r="G178" s="268"/>
      <c r="H178" s="268"/>
      <c r="I178" s="365"/>
      <c r="J178" s="35">
        <f>J145-J172+J146+J148+J151-J179</f>
        <v>762508.80000000005</v>
      </c>
      <c r="K178" s="35">
        <f>N145-K172+N146+N148+N151-K179</f>
        <v>713612.1</v>
      </c>
      <c r="L178" s="35">
        <f>R145-L172+R146+R148+R151+R154</f>
        <v>226620</v>
      </c>
      <c r="M178" s="35">
        <f>V145-M172+V146+V148+V151+V154</f>
        <v>3525666.1</v>
      </c>
      <c r="N178" s="35">
        <f>Z145-N172+Z148+Z146+Z151</f>
        <v>622330.5</v>
      </c>
      <c r="O178" s="35">
        <f>SUM(J178:N178)</f>
        <v>5850737.5</v>
      </c>
    </row>
    <row r="179" spans="1:16" x14ac:dyDescent="0.25">
      <c r="A179" s="274" t="s">
        <v>175</v>
      </c>
      <c r="B179" s="369"/>
      <c r="C179" s="369"/>
      <c r="D179" s="369"/>
      <c r="E179" s="369"/>
      <c r="F179" s="369"/>
      <c r="G179" s="369"/>
      <c r="H179" s="369"/>
      <c r="I179" s="275"/>
      <c r="J179" s="35">
        <v>245307</v>
      </c>
      <c r="K179" s="35">
        <v>30439</v>
      </c>
      <c r="L179" s="35">
        <f>R142+R152</f>
        <v>76604</v>
      </c>
      <c r="M179" s="35">
        <f>V142+V143+V152</f>
        <v>1105920</v>
      </c>
      <c r="N179" s="35">
        <f>Z142+Z152</f>
        <v>59798</v>
      </c>
      <c r="O179" s="35">
        <f>SUM(J179:N179)</f>
        <v>1518068</v>
      </c>
    </row>
    <row r="180" spans="1:16" x14ac:dyDescent="0.25">
      <c r="A180" s="382" t="s">
        <v>183</v>
      </c>
      <c r="B180" s="383"/>
      <c r="C180" s="383"/>
      <c r="D180" s="383"/>
      <c r="E180" s="383"/>
      <c r="F180" s="383"/>
      <c r="G180" s="383"/>
      <c r="H180" s="383"/>
      <c r="I180" s="384"/>
      <c r="J180" s="114">
        <f>J166+J170</f>
        <v>29492142</v>
      </c>
      <c r="K180" s="114">
        <f>K166+K170</f>
        <v>7274898</v>
      </c>
      <c r="L180" s="114">
        <f>L166+L170</f>
        <v>4834960</v>
      </c>
      <c r="M180" s="114">
        <f>M166+M170</f>
        <v>40067500</v>
      </c>
      <c r="N180" s="114">
        <f>N166+N170</f>
        <v>10685700</v>
      </c>
      <c r="O180" s="114">
        <f>SUM(J180:N180)</f>
        <v>92355200</v>
      </c>
      <c r="P180" s="31"/>
    </row>
    <row r="181" spans="1:16" x14ac:dyDescent="0.25">
      <c r="A181" s="274" t="s">
        <v>209</v>
      </c>
      <c r="B181" s="369"/>
      <c r="C181" s="369"/>
      <c r="D181" s="369"/>
      <c r="E181" s="369"/>
      <c r="F181" s="369"/>
      <c r="G181" s="369"/>
      <c r="H181" s="369"/>
      <c r="I181" s="275"/>
      <c r="J181" s="35">
        <f>J180/270</f>
        <v>109230.15555555555</v>
      </c>
      <c r="K181" s="35">
        <f>K180/70</f>
        <v>103927.11428571428</v>
      </c>
      <c r="L181" s="35">
        <f>L180/24</f>
        <v>201456.66666666666</v>
      </c>
      <c r="M181" s="9"/>
      <c r="N181" s="35"/>
      <c r="O181" s="7"/>
    </row>
    <row r="182" spans="1:16" x14ac:dyDescent="0.25">
      <c r="A182" s="274" t="s">
        <v>210</v>
      </c>
      <c r="B182" s="369"/>
      <c r="C182" s="369"/>
      <c r="D182" s="369"/>
      <c r="E182" s="369"/>
      <c r="F182" s="369"/>
      <c r="G182" s="369"/>
      <c r="H182" s="369"/>
      <c r="I182" s="275"/>
      <c r="J182" s="7"/>
      <c r="K182" s="7"/>
      <c r="L182" s="7"/>
      <c r="M182" s="35">
        <f>M180/74500</f>
        <v>537.81879194630869</v>
      </c>
      <c r="N182" s="7"/>
      <c r="O182" s="7"/>
    </row>
    <row r="183" spans="1:16" x14ac:dyDescent="0.25">
      <c r="A183" s="274" t="s">
        <v>230</v>
      </c>
      <c r="B183" s="369"/>
      <c r="C183" s="369"/>
      <c r="D183" s="369"/>
      <c r="E183" s="369"/>
      <c r="F183" s="369"/>
      <c r="G183" s="369"/>
      <c r="H183" s="369"/>
      <c r="I183" s="275"/>
      <c r="J183" s="7"/>
      <c r="K183" s="7"/>
      <c r="L183" s="7"/>
      <c r="M183" s="7"/>
      <c r="N183" s="35">
        <f>N180/9836</f>
        <v>1086.3867425782839</v>
      </c>
      <c r="O183" s="7"/>
    </row>
    <row r="186" spans="1:16" x14ac:dyDescent="0.25">
      <c r="B186" t="s">
        <v>112</v>
      </c>
    </row>
    <row r="187" spans="1:16" x14ac:dyDescent="0.25">
      <c r="A187" s="393">
        <f>O41+O84+M129+O180</f>
        <v>291419298.88999999</v>
      </c>
      <c r="B187" s="394"/>
      <c r="C187" s="394"/>
      <c r="D187" s="394"/>
      <c r="E187" s="394"/>
      <c r="F187" s="394"/>
      <c r="G187" s="394"/>
      <c r="H187" s="394"/>
      <c r="I187" s="394"/>
      <c r="J187" s="144"/>
      <c r="K187" s="144"/>
      <c r="L187" s="145"/>
      <c r="M187" s="144"/>
      <c r="N187" s="144"/>
      <c r="O187" s="144"/>
    </row>
    <row r="188" spans="1:16" x14ac:dyDescent="0.25">
      <c r="A188" s="394"/>
      <c r="B188" s="394"/>
      <c r="C188" s="394"/>
      <c r="D188" s="394"/>
      <c r="E188" s="394"/>
      <c r="F188" s="394"/>
      <c r="G188" s="394"/>
      <c r="H188" s="394"/>
      <c r="I188" s="394"/>
    </row>
    <row r="189" spans="1:16" x14ac:dyDescent="0.25">
      <c r="A189" s="391"/>
      <c r="B189" s="391"/>
      <c r="C189" s="391"/>
      <c r="D189" s="391"/>
      <c r="E189" s="391"/>
      <c r="F189" s="391"/>
      <c r="G189" s="391"/>
      <c r="H189" s="391"/>
      <c r="I189" s="391"/>
    </row>
    <row r="190" spans="1:16" x14ac:dyDescent="0.25">
      <c r="A190" s="390"/>
      <c r="B190" s="390"/>
      <c r="C190" s="390"/>
      <c r="D190" s="390"/>
      <c r="E190" s="390"/>
      <c r="F190" s="390"/>
      <c r="G190" s="390"/>
      <c r="H190" s="390"/>
      <c r="I190" s="390"/>
      <c r="J190" s="31"/>
      <c r="K190" s="31"/>
      <c r="L190" s="31"/>
      <c r="M190" s="31"/>
      <c r="N190" s="31"/>
      <c r="O190" s="31"/>
    </row>
    <row r="191" spans="1:16" x14ac:dyDescent="0.25">
      <c r="A191" s="390"/>
      <c r="B191" s="390"/>
      <c r="C191" s="390"/>
      <c r="D191" s="390"/>
      <c r="E191" s="390"/>
      <c r="F191" s="390"/>
      <c r="G191" s="390"/>
      <c r="H191" s="390"/>
      <c r="I191" s="390"/>
      <c r="J191" s="31"/>
      <c r="K191" s="31"/>
      <c r="L191" s="31"/>
      <c r="M191" s="31"/>
      <c r="N191" s="31"/>
      <c r="O191" s="31"/>
    </row>
    <row r="192" spans="1:16" x14ac:dyDescent="0.25">
      <c r="A192" s="392"/>
      <c r="B192" s="392"/>
      <c r="C192" s="392"/>
      <c r="D192" s="392"/>
      <c r="E192" s="392"/>
      <c r="F192" s="392"/>
      <c r="G192" s="392"/>
      <c r="H192" s="392"/>
      <c r="I192" s="392"/>
      <c r="J192" s="31"/>
      <c r="K192" s="31"/>
      <c r="L192" s="31"/>
      <c r="M192" s="31"/>
      <c r="N192" s="31"/>
      <c r="O192" s="31"/>
    </row>
    <row r="193" spans="1:15" x14ac:dyDescent="0.25">
      <c r="A193" s="391"/>
      <c r="B193" s="391"/>
      <c r="C193" s="391"/>
      <c r="D193" s="391"/>
      <c r="E193" s="391"/>
      <c r="F193" s="391"/>
      <c r="G193" s="391"/>
      <c r="H193" s="391"/>
      <c r="I193" s="391"/>
      <c r="J193" s="31"/>
      <c r="K193" s="31"/>
      <c r="L193" s="31"/>
      <c r="M193" s="31"/>
      <c r="N193" s="31"/>
    </row>
    <row r="194" spans="1:15" x14ac:dyDescent="0.25">
      <c r="A194" s="390"/>
      <c r="B194" s="390"/>
      <c r="C194" s="390"/>
      <c r="D194" s="390"/>
      <c r="E194" s="390"/>
      <c r="F194" s="390"/>
      <c r="G194" s="390"/>
      <c r="H194" s="390"/>
      <c r="I194" s="390"/>
      <c r="J194" s="31"/>
      <c r="K194" s="31"/>
      <c r="L194" s="31"/>
      <c r="M194" s="31"/>
      <c r="N194" s="31"/>
    </row>
    <row r="195" spans="1:15" x14ac:dyDescent="0.25">
      <c r="A195" s="32"/>
      <c r="B195" s="32"/>
      <c r="C195" s="32"/>
      <c r="D195" s="32"/>
      <c r="E195" s="32"/>
      <c r="F195" s="32"/>
      <c r="G195" s="32"/>
      <c r="H195" s="32"/>
      <c r="I195" s="32"/>
      <c r="J195" s="31"/>
      <c r="K195" s="31"/>
      <c r="L195" s="31"/>
      <c r="M195" s="31"/>
      <c r="N195" s="31"/>
      <c r="O195" s="31"/>
    </row>
    <row r="196" spans="1:15" x14ac:dyDescent="0.25">
      <c r="A196" s="390"/>
      <c r="B196" s="390"/>
      <c r="C196" s="390"/>
      <c r="D196" s="390"/>
      <c r="E196" s="390"/>
      <c r="F196" s="390"/>
      <c r="G196" s="390"/>
      <c r="H196" s="390"/>
      <c r="I196" s="390"/>
      <c r="J196" s="31"/>
      <c r="K196" s="31"/>
      <c r="L196" s="31"/>
      <c r="M196" s="31"/>
      <c r="N196" s="31"/>
      <c r="O196" s="31"/>
    </row>
    <row r="197" spans="1:15" x14ac:dyDescent="0.25">
      <c r="A197" s="390"/>
      <c r="B197" s="390"/>
      <c r="C197" s="390"/>
      <c r="D197" s="390"/>
      <c r="E197" s="390"/>
      <c r="F197" s="390"/>
      <c r="G197" s="390"/>
      <c r="H197" s="390"/>
      <c r="I197" s="390"/>
      <c r="J197" s="31"/>
      <c r="K197" s="31"/>
      <c r="L197" s="31"/>
      <c r="M197" s="31"/>
      <c r="N197" s="31"/>
      <c r="O197" s="31"/>
    </row>
    <row r="198" spans="1:15" x14ac:dyDescent="0.25">
      <c r="A198" s="390"/>
      <c r="B198" s="390"/>
      <c r="C198" s="390"/>
      <c r="D198" s="390"/>
      <c r="E198" s="390"/>
      <c r="F198" s="390"/>
      <c r="G198" s="390"/>
      <c r="H198" s="390"/>
      <c r="I198" s="390"/>
      <c r="J198" s="31"/>
      <c r="K198" s="31"/>
      <c r="L198" s="31"/>
      <c r="M198" s="31"/>
      <c r="N198" s="31"/>
    </row>
    <row r="199" spans="1:15" x14ac:dyDescent="0.25">
      <c r="A199" s="390"/>
      <c r="B199" s="390"/>
      <c r="C199" s="390"/>
      <c r="D199" s="390"/>
      <c r="E199" s="390"/>
      <c r="F199" s="390"/>
      <c r="G199" s="390"/>
      <c r="H199" s="390"/>
      <c r="I199" s="390"/>
      <c r="J199" s="31"/>
      <c r="K199" s="31"/>
      <c r="L199" s="31"/>
      <c r="M199" s="31"/>
      <c r="N199" s="31"/>
    </row>
    <row r="200" spans="1:15" x14ac:dyDescent="0.25">
      <c r="A200" s="391"/>
      <c r="B200" s="391"/>
      <c r="C200" s="391"/>
      <c r="D200" s="391"/>
      <c r="E200" s="391"/>
      <c r="F200" s="391"/>
      <c r="G200" s="391"/>
      <c r="H200" s="391"/>
      <c r="I200" s="391"/>
      <c r="J200" s="31"/>
      <c r="K200" s="31"/>
      <c r="L200" s="31"/>
      <c r="M200" s="31"/>
      <c r="N200" s="31"/>
    </row>
    <row r="201" spans="1:15" x14ac:dyDescent="0.25">
      <c r="A201" s="391"/>
      <c r="B201" s="391"/>
      <c r="C201" s="391"/>
      <c r="D201" s="391"/>
      <c r="E201" s="391"/>
      <c r="F201" s="391"/>
      <c r="G201" s="391"/>
      <c r="H201" s="391"/>
      <c r="I201" s="391"/>
      <c r="J201" s="31"/>
      <c r="K201" s="31"/>
      <c r="L201" s="31"/>
      <c r="M201" s="31"/>
      <c r="N201" s="31"/>
      <c r="O201" s="31"/>
    </row>
    <row r="202" spans="1:15" x14ac:dyDescent="0.25">
      <c r="A202" s="390"/>
      <c r="B202" s="390"/>
      <c r="C202" s="390"/>
      <c r="D202" s="390"/>
      <c r="E202" s="390"/>
      <c r="F202" s="390"/>
      <c r="G202" s="390"/>
      <c r="H202" s="390"/>
      <c r="I202" s="390"/>
      <c r="J202" s="31"/>
      <c r="K202" s="31"/>
      <c r="L202" s="31"/>
      <c r="M202" s="31"/>
      <c r="N202" s="31"/>
      <c r="O202" s="31"/>
    </row>
    <row r="203" spans="1:15" x14ac:dyDescent="0.25">
      <c r="A203" s="390"/>
      <c r="B203" s="390"/>
      <c r="C203" s="390"/>
      <c r="D203" s="390"/>
      <c r="E203" s="390"/>
      <c r="F203" s="390"/>
      <c r="G203" s="390"/>
      <c r="H203" s="390"/>
      <c r="I203" s="390"/>
      <c r="J203" s="31"/>
      <c r="K203" s="31"/>
      <c r="L203" s="31"/>
      <c r="M203" s="31"/>
      <c r="N203" s="31"/>
      <c r="O203" s="31"/>
    </row>
    <row r="204" spans="1:15" x14ac:dyDescent="0.25">
      <c r="A204" s="390"/>
      <c r="B204" s="390"/>
      <c r="C204" s="390"/>
      <c r="D204" s="390"/>
      <c r="E204" s="390"/>
      <c r="F204" s="390"/>
      <c r="G204" s="390"/>
      <c r="H204" s="390"/>
      <c r="I204" s="390"/>
      <c r="J204" s="31"/>
      <c r="K204" s="31"/>
      <c r="L204" s="31"/>
      <c r="M204" s="31"/>
      <c r="N204" s="31"/>
    </row>
  </sheetData>
  <mergeCells count="194">
    <mergeCell ref="O5:R5"/>
    <mergeCell ref="S5:V5"/>
    <mergeCell ref="W5:Z5"/>
    <mergeCell ref="AA5:AA6"/>
    <mergeCell ref="B7:D7"/>
    <mergeCell ref="B8:D8"/>
    <mergeCell ref="A5:A6"/>
    <mergeCell ref="B5:D6"/>
    <mergeCell ref="E5:E6"/>
    <mergeCell ref="F5:F6"/>
    <mergeCell ref="G5:J5"/>
    <mergeCell ref="K5:N5"/>
    <mergeCell ref="A21:D21"/>
    <mergeCell ref="B15:D15"/>
    <mergeCell ref="B16:D16"/>
    <mergeCell ref="B17:D17"/>
    <mergeCell ref="B18:D18"/>
    <mergeCell ref="B19:D19"/>
    <mergeCell ref="B20:D20"/>
    <mergeCell ref="B9:D9"/>
    <mergeCell ref="B10:D10"/>
    <mergeCell ref="B11:D11"/>
    <mergeCell ref="B12:D12"/>
    <mergeCell ref="B13:D13"/>
    <mergeCell ref="B14:D14"/>
    <mergeCell ref="A50:A51"/>
    <mergeCell ref="B50:D51"/>
    <mergeCell ref="A37:I37"/>
    <mergeCell ref="A38:I39"/>
    <mergeCell ref="A40:I40"/>
    <mergeCell ref="A41:I41"/>
    <mergeCell ref="A42:I42"/>
    <mergeCell ref="A30:I30"/>
    <mergeCell ref="A31:I31"/>
    <mergeCell ref="A32:I32"/>
    <mergeCell ref="A34:I34"/>
    <mergeCell ref="A35:I35"/>
    <mergeCell ref="A36:I36"/>
    <mergeCell ref="R54:R55"/>
    <mergeCell ref="U54:U55"/>
    <mergeCell ref="V54:V55"/>
    <mergeCell ref="Y54:Y55"/>
    <mergeCell ref="Z54:Z55"/>
    <mergeCell ref="B55:D55"/>
    <mergeCell ref="W50:Z50"/>
    <mergeCell ref="AA50:AA51"/>
    <mergeCell ref="B52:D52"/>
    <mergeCell ref="B53:D53"/>
    <mergeCell ref="B54:D54"/>
    <mergeCell ref="I54:I55"/>
    <mergeCell ref="J54:J55"/>
    <mergeCell ref="M54:M55"/>
    <mergeCell ref="N54:N55"/>
    <mergeCell ref="Q54:Q55"/>
    <mergeCell ref="E50:E51"/>
    <mergeCell ref="F50:F51"/>
    <mergeCell ref="G50:J50"/>
    <mergeCell ref="K50:N50"/>
    <mergeCell ref="S50:V50"/>
    <mergeCell ref="B62:D62"/>
    <mergeCell ref="B63:D63"/>
    <mergeCell ref="B64:D64"/>
    <mergeCell ref="A65:D65"/>
    <mergeCell ref="A69:I69"/>
    <mergeCell ref="A70:I70"/>
    <mergeCell ref="B56:D56"/>
    <mergeCell ref="B57:D57"/>
    <mergeCell ref="B58:D58"/>
    <mergeCell ref="B59:D59"/>
    <mergeCell ref="B60:D60"/>
    <mergeCell ref="B61:D61"/>
    <mergeCell ref="A77:I77"/>
    <mergeCell ref="A78:I78"/>
    <mergeCell ref="A79:I79"/>
    <mergeCell ref="A80:I80"/>
    <mergeCell ref="A81:I81"/>
    <mergeCell ref="A82:I82"/>
    <mergeCell ref="A71:I71"/>
    <mergeCell ref="A72:I72"/>
    <mergeCell ref="A73:I73"/>
    <mergeCell ref="A74:I74"/>
    <mergeCell ref="A75:I75"/>
    <mergeCell ref="A76:I76"/>
    <mergeCell ref="K94:N94"/>
    <mergeCell ref="S94:S95"/>
    <mergeCell ref="B96:D96"/>
    <mergeCell ref="B97:D97"/>
    <mergeCell ref="B98:D98"/>
    <mergeCell ref="A83:I83"/>
    <mergeCell ref="A84:I84"/>
    <mergeCell ref="A85:I85"/>
    <mergeCell ref="A94:A95"/>
    <mergeCell ref="B94:D95"/>
    <mergeCell ref="E94:E95"/>
    <mergeCell ref="F94:F95"/>
    <mergeCell ref="G94:J94"/>
    <mergeCell ref="O94:R94"/>
    <mergeCell ref="A119:I119"/>
    <mergeCell ref="A120:I120"/>
    <mergeCell ref="B105:D105"/>
    <mergeCell ref="B106:D106"/>
    <mergeCell ref="B107:D107"/>
    <mergeCell ref="B108:D108"/>
    <mergeCell ref="B109:D109"/>
    <mergeCell ref="A114:I114"/>
    <mergeCell ref="B99:D99"/>
    <mergeCell ref="B100:D100"/>
    <mergeCell ref="B101:D101"/>
    <mergeCell ref="B102:D102"/>
    <mergeCell ref="B103:D103"/>
    <mergeCell ref="B104:D104"/>
    <mergeCell ref="R126:R127"/>
    <mergeCell ref="B147:D147"/>
    <mergeCell ref="K140:N140"/>
    <mergeCell ref="W120:Z120"/>
    <mergeCell ref="B142:D142"/>
    <mergeCell ref="B143:D143"/>
    <mergeCell ref="W140:Z140"/>
    <mergeCell ref="S140:V140"/>
    <mergeCell ref="A127:I127"/>
    <mergeCell ref="A128:I128"/>
    <mergeCell ref="A129:I129"/>
    <mergeCell ref="A130:I130"/>
    <mergeCell ref="A131:I131"/>
    <mergeCell ref="A140:A141"/>
    <mergeCell ref="B140:D141"/>
    <mergeCell ref="E140:E141"/>
    <mergeCell ref="F140:F141"/>
    <mergeCell ref="G140:J140"/>
    <mergeCell ref="A121:I121"/>
    <mergeCell ref="A122:I122"/>
    <mergeCell ref="A123:I123"/>
    <mergeCell ref="A124:I124"/>
    <mergeCell ref="R146:R147"/>
    <mergeCell ref="O140:R140"/>
    <mergeCell ref="A167:I167"/>
    <mergeCell ref="A168:I168"/>
    <mergeCell ref="A181:I181"/>
    <mergeCell ref="A182:I182"/>
    <mergeCell ref="A183:I183"/>
    <mergeCell ref="A175:I175"/>
    <mergeCell ref="A176:I176"/>
    <mergeCell ref="A177:I177"/>
    <mergeCell ref="A178:I178"/>
    <mergeCell ref="A179:I179"/>
    <mergeCell ref="A180:I180"/>
    <mergeCell ref="J146:J147"/>
    <mergeCell ref="N146:N147"/>
    <mergeCell ref="A203:I203"/>
    <mergeCell ref="A204:I204"/>
    <mergeCell ref="A191:I191"/>
    <mergeCell ref="A192:I192"/>
    <mergeCell ref="A193:I193"/>
    <mergeCell ref="A194:I194"/>
    <mergeCell ref="A196:I196"/>
    <mergeCell ref="A197:I197"/>
    <mergeCell ref="A187:I187"/>
    <mergeCell ref="A188:I188"/>
    <mergeCell ref="A189:I189"/>
    <mergeCell ref="A190:I190"/>
    <mergeCell ref="A169:I169"/>
    <mergeCell ref="A170:I170"/>
    <mergeCell ref="A171:I171"/>
    <mergeCell ref="A172:I172"/>
    <mergeCell ref="A173:I173"/>
    <mergeCell ref="A174:I174"/>
    <mergeCell ref="B154:D154"/>
    <mergeCell ref="B155:D155"/>
    <mergeCell ref="A165:I165"/>
    <mergeCell ref="A166:I166"/>
    <mergeCell ref="A25:I25"/>
    <mergeCell ref="A26:I26"/>
    <mergeCell ref="A27:I27"/>
    <mergeCell ref="A28:I28"/>
    <mergeCell ref="A29:I29"/>
    <mergeCell ref="A198:I198"/>
    <mergeCell ref="A199:I199"/>
    <mergeCell ref="A200:I201"/>
    <mergeCell ref="A202:I202"/>
    <mergeCell ref="B148:D148"/>
    <mergeCell ref="B149:D149"/>
    <mergeCell ref="B150:D150"/>
    <mergeCell ref="B151:D151"/>
    <mergeCell ref="B152:D152"/>
    <mergeCell ref="B153:D153"/>
    <mergeCell ref="B144:D144"/>
    <mergeCell ref="B145:D145"/>
    <mergeCell ref="B146:D146"/>
    <mergeCell ref="A125:I125"/>
    <mergeCell ref="A126:I126"/>
    <mergeCell ref="A115:I115"/>
    <mergeCell ref="A116:I116"/>
    <mergeCell ref="A117:I117"/>
    <mergeCell ref="A118:I118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B233"/>
  <sheetViews>
    <sheetView showGridLines="0" topLeftCell="A22" workbookViewId="0">
      <selection activeCell="N196" sqref="N196"/>
    </sheetView>
  </sheetViews>
  <sheetFormatPr defaultRowHeight="15" x14ac:dyDescent="0.25"/>
  <cols>
    <col min="1" max="1" width="5" customWidth="1"/>
    <col min="4" max="4" width="6.5703125" customWidth="1"/>
    <col min="6" max="6" width="8.5703125" customWidth="1"/>
    <col min="7" max="7" width="5.85546875" customWidth="1"/>
    <col min="8" max="8" width="12.28515625" customWidth="1"/>
    <col min="9" max="9" width="4.5703125" customWidth="1"/>
    <col min="10" max="10" width="12.28515625" customWidth="1"/>
    <col min="11" max="11" width="10.85546875" customWidth="1"/>
    <col min="12" max="12" width="11.28515625" customWidth="1"/>
    <col min="13" max="13" width="13.5703125" customWidth="1"/>
    <col min="14" max="14" width="12.85546875" customWidth="1"/>
    <col min="15" max="15" width="13" customWidth="1"/>
    <col min="16" max="16" width="16" customWidth="1"/>
    <col min="17" max="17" width="10.85546875" customWidth="1"/>
    <col min="18" max="18" width="12.85546875" customWidth="1"/>
    <col min="19" max="19" width="12.7109375" customWidth="1"/>
    <col min="20" max="20" width="12" customWidth="1"/>
    <col min="21" max="21" width="11.5703125" customWidth="1"/>
    <col min="22" max="22" width="13.7109375" customWidth="1"/>
    <col min="23" max="23" width="5.28515625" customWidth="1"/>
    <col min="24" max="24" width="10.28515625" customWidth="1"/>
    <col min="25" max="25" width="4.5703125" customWidth="1"/>
    <col min="26" max="26" width="10.28515625" customWidth="1"/>
    <col min="27" max="27" width="10.5703125" customWidth="1"/>
    <col min="28" max="28" width="11.5703125" customWidth="1"/>
    <col min="29" max="29" width="12.7109375" customWidth="1"/>
    <col min="30" max="30" width="10.42578125" customWidth="1"/>
    <col min="31" max="31" width="11.7109375" customWidth="1"/>
  </cols>
  <sheetData>
    <row r="1" spans="1:27" x14ac:dyDescent="0.25">
      <c r="T1" s="1" t="s">
        <v>231</v>
      </c>
      <c r="U1" s="1"/>
      <c r="V1" s="1"/>
      <c r="W1" s="1"/>
    </row>
    <row r="2" spans="1:27" x14ac:dyDescent="0.25">
      <c r="T2" s="1" t="s">
        <v>239</v>
      </c>
      <c r="U2" s="1"/>
      <c r="V2" s="1"/>
      <c r="W2" s="1"/>
    </row>
    <row r="3" spans="1:27" x14ac:dyDescent="0.25">
      <c r="T3" s="1" t="s">
        <v>233</v>
      </c>
      <c r="U3" s="1"/>
      <c r="V3" s="1"/>
      <c r="W3" s="1"/>
    </row>
    <row r="4" spans="1:27" x14ac:dyDescent="0.25">
      <c r="J4" s="121" t="s">
        <v>253</v>
      </c>
      <c r="K4" s="121"/>
      <c r="L4" s="121"/>
      <c r="M4" s="121"/>
      <c r="N4" s="121"/>
      <c r="O4" s="121"/>
      <c r="P4" s="121"/>
      <c r="T4" s="1" t="s">
        <v>254</v>
      </c>
      <c r="U4" s="1"/>
      <c r="V4" s="1"/>
      <c r="W4" s="1"/>
    </row>
    <row r="5" spans="1:27" ht="68.25" customHeight="1" x14ac:dyDescent="0.25">
      <c r="A5" s="324" t="s">
        <v>4</v>
      </c>
      <c r="B5" s="326" t="s">
        <v>71</v>
      </c>
      <c r="C5" s="327"/>
      <c r="D5" s="328"/>
      <c r="E5" s="290" t="s">
        <v>2</v>
      </c>
      <c r="F5" s="276" t="s">
        <v>11</v>
      </c>
      <c r="G5" s="284" t="s">
        <v>5</v>
      </c>
      <c r="H5" s="285"/>
      <c r="I5" s="285"/>
      <c r="J5" s="286"/>
      <c r="K5" s="284" t="s">
        <v>6</v>
      </c>
      <c r="L5" s="285"/>
      <c r="M5" s="285"/>
      <c r="N5" s="286"/>
      <c r="O5" s="284" t="s">
        <v>7</v>
      </c>
      <c r="P5" s="285"/>
      <c r="Q5" s="285"/>
      <c r="R5" s="286"/>
      <c r="S5" s="284" t="s">
        <v>15</v>
      </c>
      <c r="T5" s="285"/>
      <c r="U5" s="285"/>
      <c r="V5" s="286"/>
      <c r="W5" s="284" t="s">
        <v>16</v>
      </c>
      <c r="X5" s="285"/>
      <c r="Y5" s="285"/>
      <c r="Z5" s="286"/>
      <c r="AA5" s="281" t="s">
        <v>223</v>
      </c>
    </row>
    <row r="6" spans="1:27" ht="51" x14ac:dyDescent="0.25">
      <c r="A6" s="325"/>
      <c r="B6" s="329"/>
      <c r="C6" s="330"/>
      <c r="D6" s="331"/>
      <c r="E6" s="291"/>
      <c r="F6" s="277"/>
      <c r="G6" s="47" t="s">
        <v>12</v>
      </c>
      <c r="H6" s="47" t="s">
        <v>13</v>
      </c>
      <c r="I6" s="47" t="s">
        <v>14</v>
      </c>
      <c r="J6" s="47" t="s">
        <v>25</v>
      </c>
      <c r="K6" s="47" t="s">
        <v>12</v>
      </c>
      <c r="L6" s="47" t="s">
        <v>13</v>
      </c>
      <c r="M6" s="47" t="s">
        <v>14</v>
      </c>
      <c r="N6" s="47" t="s">
        <v>25</v>
      </c>
      <c r="O6" s="47" t="s">
        <v>12</v>
      </c>
      <c r="P6" s="47" t="s">
        <v>13</v>
      </c>
      <c r="Q6" s="47" t="s">
        <v>3</v>
      </c>
      <c r="R6" s="47" t="s">
        <v>25</v>
      </c>
      <c r="S6" s="47" t="s">
        <v>12</v>
      </c>
      <c r="T6" s="47" t="s">
        <v>13</v>
      </c>
      <c r="U6" s="47" t="s">
        <v>23</v>
      </c>
      <c r="V6" s="48" t="s">
        <v>25</v>
      </c>
      <c r="W6" s="47" t="s">
        <v>12</v>
      </c>
      <c r="X6" s="47" t="s">
        <v>13</v>
      </c>
      <c r="Y6" s="47" t="s">
        <v>23</v>
      </c>
      <c r="Z6" s="48" t="s">
        <v>25</v>
      </c>
      <c r="AA6" s="281"/>
    </row>
    <row r="7" spans="1:27" x14ac:dyDescent="0.25">
      <c r="A7" s="49" t="s">
        <v>8</v>
      </c>
      <c r="B7" s="287" t="s">
        <v>72</v>
      </c>
      <c r="C7" s="288"/>
      <c r="D7" s="289"/>
      <c r="E7" s="50" t="s">
        <v>73</v>
      </c>
      <c r="F7" s="51">
        <v>2900</v>
      </c>
      <c r="G7" s="51">
        <v>859</v>
      </c>
      <c r="H7" s="51">
        <f>F7*G7</f>
        <v>2491100</v>
      </c>
      <c r="I7" s="51">
        <v>11</v>
      </c>
      <c r="J7" s="137">
        <f>2061560-450000+118255+1100.8</f>
        <v>1730915.8</v>
      </c>
      <c r="K7" s="51">
        <v>291</v>
      </c>
      <c r="L7" s="51">
        <f>K7*F7-102600</f>
        <v>741300</v>
      </c>
      <c r="M7" s="51"/>
      <c r="N7" s="51">
        <f>557450-120000</f>
        <v>437450</v>
      </c>
      <c r="O7" s="51">
        <v>284</v>
      </c>
      <c r="P7" s="51">
        <f>F7*O7</f>
        <v>823600</v>
      </c>
      <c r="Q7" s="51">
        <v>35</v>
      </c>
      <c r="R7" s="137">
        <f>1072828+41854</f>
        <v>1114682</v>
      </c>
      <c r="S7" s="51">
        <v>48</v>
      </c>
      <c r="T7" s="51">
        <f>F7*S7</f>
        <v>139200</v>
      </c>
      <c r="U7" s="51">
        <v>195</v>
      </c>
      <c r="V7" s="52">
        <v>215000</v>
      </c>
      <c r="W7" s="51">
        <v>113</v>
      </c>
      <c r="X7" s="51">
        <f>F7*W7</f>
        <v>327700</v>
      </c>
      <c r="Y7" s="51">
        <v>50</v>
      </c>
      <c r="Z7" s="53">
        <f>400000</f>
        <v>400000</v>
      </c>
      <c r="AA7" s="51">
        <f t="shared" ref="AA7:AA22" si="0">J7+N7+R7+V7+Z7</f>
        <v>3898047.8</v>
      </c>
    </row>
    <row r="8" spans="1:27" x14ac:dyDescent="0.25">
      <c r="A8" s="49" t="s">
        <v>17</v>
      </c>
      <c r="B8" s="278" t="s">
        <v>79</v>
      </c>
      <c r="C8" s="279"/>
      <c r="D8" s="280"/>
      <c r="E8" s="50" t="s">
        <v>73</v>
      </c>
      <c r="F8" s="51"/>
      <c r="G8" s="51"/>
      <c r="H8" s="51">
        <v>650000</v>
      </c>
      <c r="I8" s="51"/>
      <c r="J8" s="137">
        <f>450000+6000</f>
        <v>456000</v>
      </c>
      <c r="K8" s="51"/>
      <c r="L8" s="51">
        <v>150000</v>
      </c>
      <c r="M8" s="51"/>
      <c r="N8" s="51">
        <v>120000</v>
      </c>
      <c r="O8" s="51"/>
      <c r="P8" s="51">
        <v>63480</v>
      </c>
      <c r="Q8" s="51">
        <v>325</v>
      </c>
      <c r="R8" s="137">
        <v>150000</v>
      </c>
      <c r="S8" s="51"/>
      <c r="T8" s="51">
        <v>27370</v>
      </c>
      <c r="U8" s="51">
        <v>415</v>
      </c>
      <c r="V8" s="51">
        <v>35000</v>
      </c>
      <c r="W8" s="54"/>
      <c r="X8" s="51">
        <v>12190</v>
      </c>
      <c r="Y8" s="51"/>
      <c r="Z8" s="55">
        <v>100000</v>
      </c>
      <c r="AA8" s="51">
        <f t="shared" si="0"/>
        <v>861000</v>
      </c>
    </row>
    <row r="9" spans="1:27" x14ac:dyDescent="0.25">
      <c r="A9" s="49" t="s">
        <v>20</v>
      </c>
      <c r="B9" s="314" t="s">
        <v>80</v>
      </c>
      <c r="C9" s="315"/>
      <c r="D9" s="316"/>
      <c r="E9" s="50" t="s">
        <v>73</v>
      </c>
      <c r="F9" s="51">
        <v>700</v>
      </c>
      <c r="G9" s="51">
        <v>859</v>
      </c>
      <c r="H9" s="51">
        <f>F9*G9</f>
        <v>601300</v>
      </c>
      <c r="I9" s="51"/>
      <c r="J9" s="137">
        <v>1109002</v>
      </c>
      <c r="K9" s="51"/>
      <c r="L9" s="51">
        <f>F9*K9</f>
        <v>0</v>
      </c>
      <c r="M9" s="51"/>
      <c r="N9" s="51">
        <v>489040</v>
      </c>
      <c r="O9" s="51"/>
      <c r="P9" s="51">
        <f>F9*O9</f>
        <v>0</v>
      </c>
      <c r="Q9" s="51">
        <v>13</v>
      </c>
      <c r="R9" s="51">
        <f>401823+120879</f>
        <v>522702</v>
      </c>
      <c r="S9" s="51"/>
      <c r="T9" s="51">
        <f>F9*S9</f>
        <v>0</v>
      </c>
      <c r="U9" s="51">
        <v>45</v>
      </c>
      <c r="V9" s="51">
        <v>397564</v>
      </c>
      <c r="W9" s="51"/>
      <c r="X9" s="51">
        <f>W9*F9</f>
        <v>0</v>
      </c>
      <c r="Y9" s="51">
        <v>165</v>
      </c>
      <c r="Z9" s="55">
        <v>261300</v>
      </c>
      <c r="AA9" s="51">
        <f t="shared" si="0"/>
        <v>2779608</v>
      </c>
    </row>
    <row r="10" spans="1:27" x14ac:dyDescent="0.25">
      <c r="A10" s="49" t="s">
        <v>27</v>
      </c>
      <c r="B10" s="314" t="s">
        <v>81</v>
      </c>
      <c r="C10" s="315"/>
      <c r="D10" s="316"/>
      <c r="E10" s="50" t="s">
        <v>73</v>
      </c>
      <c r="F10" s="51"/>
      <c r="G10" s="51"/>
      <c r="H10" s="51">
        <f>F10*G9</f>
        <v>0</v>
      </c>
      <c r="I10" s="51"/>
      <c r="J10" s="51"/>
      <c r="K10" s="51"/>
      <c r="L10" s="51">
        <f>F10*K9</f>
        <v>0</v>
      </c>
      <c r="M10" s="51"/>
      <c r="N10" s="51"/>
      <c r="O10" s="51"/>
      <c r="P10" s="51">
        <f>O9*F10</f>
        <v>0</v>
      </c>
      <c r="Q10" s="51">
        <v>-54</v>
      </c>
      <c r="R10" s="51"/>
      <c r="S10" s="51"/>
      <c r="T10" s="51">
        <f>F10*S9</f>
        <v>0</v>
      </c>
      <c r="U10" s="51">
        <v>-40</v>
      </c>
      <c r="V10" s="51"/>
      <c r="W10" s="51"/>
      <c r="X10" s="51">
        <f>W9*F10</f>
        <v>0</v>
      </c>
      <c r="Y10" s="51">
        <v>-17</v>
      </c>
      <c r="Z10" s="55"/>
      <c r="AA10" s="51">
        <f t="shared" si="0"/>
        <v>0</v>
      </c>
    </row>
    <row r="11" spans="1:27" x14ac:dyDescent="0.25">
      <c r="A11" s="49" t="s">
        <v>83</v>
      </c>
      <c r="B11" s="314" t="s">
        <v>84</v>
      </c>
      <c r="C11" s="315"/>
      <c r="D11" s="316"/>
      <c r="E11" s="50" t="s">
        <v>73</v>
      </c>
      <c r="F11" s="51">
        <v>1800</v>
      </c>
      <c r="G11" s="51"/>
      <c r="H11" s="51">
        <f>F11*G9</f>
        <v>1546200</v>
      </c>
      <c r="I11" s="51">
        <v>-11</v>
      </c>
      <c r="J11" s="137">
        <f>208914+1889214-7845</f>
        <v>2090283</v>
      </c>
      <c r="K11" s="51"/>
      <c r="L11" s="51">
        <f>F11*K9</f>
        <v>0</v>
      </c>
      <c r="M11" s="51">
        <v>43</v>
      </c>
      <c r="N11" s="51">
        <f>632437</f>
        <v>632437</v>
      </c>
      <c r="O11" s="51"/>
      <c r="P11" s="51">
        <f>F11*O9</f>
        <v>0</v>
      </c>
      <c r="Q11" s="51">
        <v>73</v>
      </c>
      <c r="R11" s="51">
        <v>664337</v>
      </c>
      <c r="S11" s="51"/>
      <c r="T11" s="51">
        <f>F11*S9</f>
        <v>0</v>
      </c>
      <c r="U11" s="51">
        <v>272</v>
      </c>
      <c r="V11" s="51">
        <v>257740</v>
      </c>
      <c r="W11" s="51"/>
      <c r="X11" s="51">
        <f>F11*W9</f>
        <v>0</v>
      </c>
      <c r="Y11" s="51">
        <v>78</v>
      </c>
      <c r="Z11" s="55">
        <v>430000</v>
      </c>
      <c r="AA11" s="51">
        <f t="shared" si="0"/>
        <v>4074797</v>
      </c>
    </row>
    <row r="12" spans="1:27" x14ac:dyDescent="0.25">
      <c r="A12" s="56" t="s">
        <v>85</v>
      </c>
      <c r="B12" s="314" t="s">
        <v>86</v>
      </c>
      <c r="C12" s="315"/>
      <c r="D12" s="316"/>
      <c r="E12" s="50" t="s">
        <v>73</v>
      </c>
      <c r="F12" s="51">
        <v>120</v>
      </c>
      <c r="G12" s="51"/>
      <c r="H12" s="51">
        <f>F12*G9+2440</f>
        <v>105520</v>
      </c>
      <c r="I12" s="51"/>
      <c r="J12" s="137">
        <v>124199</v>
      </c>
      <c r="K12" s="51"/>
      <c r="L12" s="51"/>
      <c r="M12" s="51"/>
      <c r="N12" s="51">
        <v>604987</v>
      </c>
      <c r="O12" s="51"/>
      <c r="P12" s="51"/>
      <c r="Q12" s="51"/>
      <c r="R12" s="51">
        <v>277432</v>
      </c>
      <c r="S12" s="51"/>
      <c r="T12" s="51"/>
      <c r="U12" s="51"/>
      <c r="V12" s="51"/>
      <c r="W12" s="51"/>
      <c r="X12" s="51"/>
      <c r="Y12" s="51"/>
      <c r="Z12" s="55">
        <v>135566</v>
      </c>
      <c r="AA12" s="51">
        <f t="shared" si="0"/>
        <v>1142184</v>
      </c>
    </row>
    <row r="13" spans="1:27" x14ac:dyDescent="0.25">
      <c r="A13" s="57" t="s">
        <v>87</v>
      </c>
      <c r="B13" s="321" t="s">
        <v>88</v>
      </c>
      <c r="C13" s="322"/>
      <c r="D13" s="323"/>
      <c r="E13" s="58" t="s">
        <v>73</v>
      </c>
      <c r="F13" s="59">
        <v>2150</v>
      </c>
      <c r="G13" s="59"/>
      <c r="H13" s="59">
        <f>F13*G9</f>
        <v>1846850</v>
      </c>
      <c r="I13" s="59"/>
      <c r="J13" s="138">
        <v>1592210</v>
      </c>
      <c r="K13" s="59"/>
      <c r="L13" s="59">
        <f>K9*F13</f>
        <v>0</v>
      </c>
      <c r="M13" s="59"/>
      <c r="N13" s="59">
        <v>1251353</v>
      </c>
      <c r="O13" s="59"/>
      <c r="P13" s="59">
        <f>F13*O9</f>
        <v>0</v>
      </c>
      <c r="Q13" s="59"/>
      <c r="R13" s="59">
        <v>429413</v>
      </c>
      <c r="S13" s="59"/>
      <c r="T13" s="59"/>
      <c r="U13" s="59"/>
      <c r="V13" s="59">
        <v>215709</v>
      </c>
      <c r="W13" s="59"/>
      <c r="X13" s="59">
        <f>W9*F13</f>
        <v>0</v>
      </c>
      <c r="Y13" s="59"/>
      <c r="Z13" s="60">
        <v>455024</v>
      </c>
      <c r="AA13" s="51">
        <f t="shared" si="0"/>
        <v>3943709</v>
      </c>
    </row>
    <row r="14" spans="1:27" x14ac:dyDescent="0.25">
      <c r="A14" s="56" t="s">
        <v>89</v>
      </c>
      <c r="B14" s="295" t="s">
        <v>95</v>
      </c>
      <c r="C14" s="295"/>
      <c r="D14" s="295"/>
      <c r="E14" s="58" t="s">
        <v>73</v>
      </c>
      <c r="F14" s="51">
        <v>100</v>
      </c>
      <c r="G14" s="51"/>
      <c r="H14" s="51">
        <f>F14*G9</f>
        <v>85900</v>
      </c>
      <c r="I14" s="51"/>
      <c r="J14" s="137">
        <f>H14-2448</f>
        <v>83452</v>
      </c>
      <c r="K14" s="51"/>
      <c r="L14" s="51">
        <f>F14*K9</f>
        <v>0</v>
      </c>
      <c r="M14" s="51"/>
      <c r="N14" s="51">
        <v>30300</v>
      </c>
      <c r="O14" s="51"/>
      <c r="P14" s="51">
        <f>F14*O9</f>
        <v>0</v>
      </c>
      <c r="Q14" s="51"/>
      <c r="R14" s="51">
        <v>28704</v>
      </c>
      <c r="S14" s="51"/>
      <c r="T14" s="51">
        <f>S9*F14</f>
        <v>0</v>
      </c>
      <c r="U14" s="51"/>
      <c r="V14" s="51">
        <v>6136</v>
      </c>
      <c r="W14" s="51"/>
      <c r="X14" s="51">
        <v>12900</v>
      </c>
      <c r="Y14" s="51"/>
      <c r="Z14" s="55">
        <v>13416</v>
      </c>
      <c r="AA14" s="51">
        <f t="shared" si="0"/>
        <v>162008</v>
      </c>
    </row>
    <row r="15" spans="1:27" x14ac:dyDescent="0.25">
      <c r="A15" s="49" t="s">
        <v>91</v>
      </c>
      <c r="B15" s="287" t="s">
        <v>96</v>
      </c>
      <c r="C15" s="288"/>
      <c r="D15" s="289"/>
      <c r="E15" s="58" t="s">
        <v>73</v>
      </c>
      <c r="F15" s="51"/>
      <c r="G15" s="51"/>
      <c r="H15" s="51"/>
      <c r="I15" s="51"/>
      <c r="J15" s="137">
        <v>111604</v>
      </c>
      <c r="K15" s="51"/>
      <c r="L15" s="51"/>
      <c r="M15" s="51"/>
      <c r="N15" s="51">
        <v>90448</v>
      </c>
      <c r="O15" s="51"/>
      <c r="P15" s="51"/>
      <c r="Q15" s="51"/>
      <c r="R15" s="51"/>
      <c r="S15" s="51"/>
      <c r="T15" s="51"/>
      <c r="U15" s="51"/>
      <c r="V15" s="51">
        <v>11580</v>
      </c>
      <c r="W15" s="51"/>
      <c r="X15" s="51"/>
      <c r="Y15" s="51"/>
      <c r="Z15" s="55"/>
      <c r="AA15" s="51">
        <f t="shared" si="0"/>
        <v>213632</v>
      </c>
    </row>
    <row r="16" spans="1:27" s="32" customFormat="1" ht="30" customHeight="1" x14ac:dyDescent="0.25">
      <c r="A16" s="49" t="s">
        <v>93</v>
      </c>
      <c r="B16" s="317" t="s">
        <v>222</v>
      </c>
      <c r="C16" s="318"/>
      <c r="D16" s="319"/>
      <c r="E16" s="58" t="s">
        <v>73</v>
      </c>
      <c r="F16" s="61"/>
      <c r="G16" s="61"/>
      <c r="H16" s="61"/>
      <c r="I16" s="61"/>
      <c r="J16" s="139">
        <f>1254133+30784</f>
        <v>1284917</v>
      </c>
      <c r="K16" s="61"/>
      <c r="L16" s="61"/>
      <c r="M16" s="61"/>
      <c r="N16" s="49">
        <v>671200</v>
      </c>
      <c r="O16" s="61"/>
      <c r="P16" s="61"/>
      <c r="Q16" s="61"/>
      <c r="R16" s="49">
        <v>495200</v>
      </c>
      <c r="S16" s="61"/>
      <c r="T16" s="61"/>
      <c r="U16" s="61"/>
      <c r="V16" s="49">
        <f>82368+6800</f>
        <v>89168</v>
      </c>
      <c r="W16" s="61"/>
      <c r="X16" s="61"/>
      <c r="Y16" s="61"/>
      <c r="Z16" s="62">
        <f>132600+19100</f>
        <v>151700</v>
      </c>
      <c r="AA16" s="51">
        <f t="shared" si="0"/>
        <v>2692185</v>
      </c>
    </row>
    <row r="17" spans="1:27" ht="27" customHeight="1" x14ac:dyDescent="0.25">
      <c r="A17" s="63" t="s">
        <v>99</v>
      </c>
      <c r="B17" s="340" t="s">
        <v>98</v>
      </c>
      <c r="C17" s="341"/>
      <c r="D17" s="342"/>
      <c r="E17" s="58" t="s">
        <v>73</v>
      </c>
      <c r="F17" s="64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60"/>
      <c r="AA17" s="51">
        <f t="shared" si="0"/>
        <v>0</v>
      </c>
    </row>
    <row r="18" spans="1:27" x14ac:dyDescent="0.25">
      <c r="A18" s="49" t="s">
        <v>100</v>
      </c>
      <c r="B18" s="287" t="s">
        <v>90</v>
      </c>
      <c r="C18" s="288"/>
      <c r="D18" s="289"/>
      <c r="E18" s="58" t="s">
        <v>73</v>
      </c>
      <c r="F18" s="61"/>
      <c r="G18" s="51"/>
      <c r="H18" s="51"/>
      <c r="I18" s="51"/>
      <c r="J18" s="51">
        <f>1284584+49800+46421</f>
        <v>1380805</v>
      </c>
      <c r="K18" s="51"/>
      <c r="L18" s="51"/>
      <c r="M18" s="51"/>
      <c r="N18" s="51">
        <v>228986</v>
      </c>
      <c r="O18" s="51"/>
      <c r="P18" s="51"/>
      <c r="Q18" s="51"/>
      <c r="R18" s="51">
        <f>2909067+95584</f>
        <v>3004651</v>
      </c>
      <c r="S18" s="51"/>
      <c r="T18" s="51"/>
      <c r="U18" s="51"/>
      <c r="V18" s="51">
        <f>102196+15156</f>
        <v>117352</v>
      </c>
      <c r="W18" s="51"/>
      <c r="X18" s="51"/>
      <c r="Y18" s="51"/>
      <c r="Z18" s="55">
        <f>1355612+57847-4611</f>
        <v>1408848</v>
      </c>
      <c r="AA18" s="51">
        <f t="shared" si="0"/>
        <v>6140642</v>
      </c>
    </row>
    <row r="19" spans="1:27" x14ac:dyDescent="0.25">
      <c r="A19" s="63" t="s">
        <v>101</v>
      </c>
      <c r="B19" s="335" t="s">
        <v>102</v>
      </c>
      <c r="C19" s="335"/>
      <c r="D19" s="335"/>
      <c r="E19" s="58" t="s">
        <v>73</v>
      </c>
      <c r="F19" s="64"/>
      <c r="G19" s="59"/>
      <c r="H19" s="59"/>
      <c r="I19" s="59"/>
      <c r="J19" s="138">
        <v>5557935</v>
      </c>
      <c r="K19" s="59"/>
      <c r="L19" s="59"/>
      <c r="M19" s="59"/>
      <c r="N19" s="59">
        <f>1881642-60037</f>
        <v>1821605</v>
      </c>
      <c r="O19" s="59"/>
      <c r="P19" s="59"/>
      <c r="Q19" s="59"/>
      <c r="R19" s="59">
        <v>3223779</v>
      </c>
      <c r="S19" s="59"/>
      <c r="T19" s="59"/>
      <c r="U19" s="59"/>
      <c r="V19" s="59">
        <v>850000</v>
      </c>
      <c r="W19" s="59"/>
      <c r="X19" s="59"/>
      <c r="Y19" s="59"/>
      <c r="Z19" s="60">
        <v>1942352</v>
      </c>
      <c r="AA19" s="51">
        <f t="shared" si="0"/>
        <v>13395671</v>
      </c>
    </row>
    <row r="20" spans="1:27" x14ac:dyDescent="0.25">
      <c r="A20" s="49" t="s">
        <v>220</v>
      </c>
      <c r="B20" s="385" t="s">
        <v>221</v>
      </c>
      <c r="C20" s="386"/>
      <c r="D20" s="387"/>
      <c r="E20" s="58" t="s">
        <v>73</v>
      </c>
      <c r="F20" s="64"/>
      <c r="G20" s="59"/>
      <c r="H20" s="59"/>
      <c r="I20" s="59"/>
      <c r="J20" s="138">
        <v>433643</v>
      </c>
      <c r="K20" s="59"/>
      <c r="L20" s="59"/>
      <c r="M20" s="59"/>
      <c r="N20" s="59">
        <v>60465</v>
      </c>
      <c r="O20" s="59"/>
      <c r="P20" s="59"/>
      <c r="Q20" s="59"/>
      <c r="R20" s="59">
        <v>385842</v>
      </c>
      <c r="S20" s="59"/>
      <c r="T20" s="59"/>
      <c r="U20" s="59"/>
      <c r="V20" s="59"/>
      <c r="W20" s="59"/>
      <c r="X20" s="59"/>
      <c r="Y20" s="59"/>
      <c r="Z20" s="60">
        <v>136250</v>
      </c>
      <c r="AA20" s="51">
        <f t="shared" si="0"/>
        <v>1016200</v>
      </c>
    </row>
    <row r="21" spans="1:27" x14ac:dyDescent="0.25">
      <c r="A21" s="336" t="s">
        <v>223</v>
      </c>
      <c r="B21" s="337"/>
      <c r="C21" s="337"/>
      <c r="D21" s="338"/>
      <c r="E21" s="65"/>
      <c r="F21" s="65"/>
      <c r="G21" s="65"/>
      <c r="H21" s="65"/>
      <c r="I21" s="65"/>
      <c r="J21" s="65">
        <f>SUM(J7:J20)</f>
        <v>15954965.800000001</v>
      </c>
      <c r="K21" s="65"/>
      <c r="L21" s="65"/>
      <c r="M21" s="65"/>
      <c r="N21" s="65">
        <f>SUM(N7:N20)</f>
        <v>6438271</v>
      </c>
      <c r="O21" s="65"/>
      <c r="P21" s="65"/>
      <c r="Q21" s="65"/>
      <c r="R21" s="65">
        <f>SUM(R7:R20)</f>
        <v>10296742</v>
      </c>
      <c r="S21" s="65"/>
      <c r="T21" s="65"/>
      <c r="U21" s="65"/>
      <c r="V21" s="65">
        <f>SUM(V7:V20)</f>
        <v>2195249</v>
      </c>
      <c r="W21" s="65"/>
      <c r="X21" s="65"/>
      <c r="Y21" s="65"/>
      <c r="Z21" s="65">
        <f>SUM(Z7:Z20)</f>
        <v>5434456</v>
      </c>
      <c r="AA21" s="65">
        <f t="shared" si="0"/>
        <v>40319683.799999997</v>
      </c>
    </row>
    <row r="22" spans="1:27" x14ac:dyDescent="0.25">
      <c r="A22" s="54"/>
      <c r="B22" s="54" t="s">
        <v>113</v>
      </c>
      <c r="C22" s="54"/>
      <c r="D22" s="54"/>
      <c r="E22" s="54"/>
      <c r="F22" s="54"/>
      <c r="G22" s="54"/>
      <c r="H22" s="54"/>
      <c r="I22" s="54"/>
      <c r="J22" s="54">
        <f>J21/G9</f>
        <v>18573.883352735738</v>
      </c>
      <c r="K22" s="54"/>
      <c r="L22" s="54"/>
      <c r="M22" s="54"/>
      <c r="N22" s="54">
        <f>N21/K7</f>
        <v>22124.642611683848</v>
      </c>
      <c r="O22" s="54"/>
      <c r="P22" s="54"/>
      <c r="Q22" s="54"/>
      <c r="R22" s="54">
        <f>R21/O7</f>
        <v>36256.133802816905</v>
      </c>
      <c r="S22" s="54"/>
      <c r="T22" s="54"/>
      <c r="U22" s="54"/>
      <c r="V22" s="54">
        <f>V21/S7</f>
        <v>45734.354166666664</v>
      </c>
      <c r="W22" s="54"/>
      <c r="X22" s="54"/>
      <c r="Y22" s="54"/>
      <c r="Z22" s="54">
        <f>Z21/W7</f>
        <v>48092.530973451328</v>
      </c>
      <c r="AA22" s="66">
        <f t="shared" si="0"/>
        <v>170781.54490735449</v>
      </c>
    </row>
    <row r="23" spans="1:27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</row>
    <row r="24" spans="1:27" x14ac:dyDescent="0.25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</row>
    <row r="25" spans="1:27" ht="30" x14ac:dyDescent="0.25">
      <c r="A25" s="305" t="s">
        <v>224</v>
      </c>
      <c r="B25" s="306"/>
      <c r="C25" s="306"/>
      <c r="D25" s="306"/>
      <c r="E25" s="306"/>
      <c r="F25" s="306"/>
      <c r="G25" s="306"/>
      <c r="H25" s="306"/>
      <c r="I25" s="307"/>
      <c r="J25" s="45" t="s">
        <v>185</v>
      </c>
      <c r="K25" s="45" t="s">
        <v>186</v>
      </c>
      <c r="L25" s="44" t="s">
        <v>187</v>
      </c>
      <c r="M25" s="45" t="s">
        <v>188</v>
      </c>
      <c r="N25" s="45" t="s">
        <v>189</v>
      </c>
      <c r="O25" s="45" t="s">
        <v>183</v>
      </c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</row>
    <row r="26" spans="1:27" x14ac:dyDescent="0.25">
      <c r="A26" s="305" t="s">
        <v>170</v>
      </c>
      <c r="B26" s="306"/>
      <c r="C26" s="306"/>
      <c r="D26" s="306"/>
      <c r="E26" s="306"/>
      <c r="F26" s="306"/>
      <c r="G26" s="306"/>
      <c r="H26" s="306"/>
      <c r="I26" s="307"/>
      <c r="J26" s="3">
        <f>SUM(J27:J29)</f>
        <v>5816940.7999999998</v>
      </c>
      <c r="K26" s="3">
        <f t="shared" ref="K26:O26" si="1">SUM(K27:K29)</f>
        <v>3266203</v>
      </c>
      <c r="L26" s="3">
        <f t="shared" si="1"/>
        <v>2881273</v>
      </c>
      <c r="M26" s="3">
        <f t="shared" si="1"/>
        <v>572593</v>
      </c>
      <c r="N26" s="3">
        <f t="shared" si="1"/>
        <v>1391956</v>
      </c>
      <c r="O26" s="3">
        <f t="shared" si="1"/>
        <v>13928965.800000001</v>
      </c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1:27" x14ac:dyDescent="0.25">
      <c r="A27" s="308" t="s">
        <v>178</v>
      </c>
      <c r="B27" s="309"/>
      <c r="C27" s="309"/>
      <c r="D27" s="309"/>
      <c r="E27" s="309"/>
      <c r="F27" s="309"/>
      <c r="G27" s="309"/>
      <c r="H27" s="309"/>
      <c r="I27" s="310"/>
      <c r="J27" s="3"/>
      <c r="K27" s="3"/>
      <c r="L27" s="3"/>
      <c r="M27" s="3"/>
      <c r="N27" s="3"/>
      <c r="O27" s="3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</row>
    <row r="28" spans="1:27" x14ac:dyDescent="0.25">
      <c r="A28" s="296" t="s">
        <v>176</v>
      </c>
      <c r="B28" s="297"/>
      <c r="C28" s="297"/>
      <c r="D28" s="297"/>
      <c r="E28" s="297"/>
      <c r="F28" s="297"/>
      <c r="G28" s="297"/>
      <c r="H28" s="297"/>
      <c r="I28" s="298"/>
      <c r="J28" s="43">
        <f>J12+J13+J16</f>
        <v>3001326</v>
      </c>
      <c r="K28" s="43">
        <f>N12+N13+N16+N20</f>
        <v>2588005</v>
      </c>
      <c r="L28" s="43">
        <f>R12+R13+R16</f>
        <v>1202045</v>
      </c>
      <c r="M28" s="43">
        <f>V12+V13+V16+V20</f>
        <v>304877</v>
      </c>
      <c r="N28" s="43">
        <f>Z12+Z13+Z16+Z20</f>
        <v>878540</v>
      </c>
      <c r="O28" s="43">
        <f>SUM(J28:N28)</f>
        <v>7974793</v>
      </c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1:27" x14ac:dyDescent="0.25">
      <c r="A29" s="296" t="s">
        <v>175</v>
      </c>
      <c r="B29" s="297"/>
      <c r="C29" s="297"/>
      <c r="D29" s="297"/>
      <c r="E29" s="297"/>
      <c r="F29" s="297"/>
      <c r="G29" s="297"/>
      <c r="H29" s="297"/>
      <c r="I29" s="298"/>
      <c r="J29" s="43">
        <f>J7+J8+J14+J15+J20</f>
        <v>2815614.8</v>
      </c>
      <c r="K29" s="43">
        <f>N7+N8+N14+N15</f>
        <v>678198</v>
      </c>
      <c r="L29" s="43">
        <f>R7+R8+R20+R14</f>
        <v>1679228</v>
      </c>
      <c r="M29" s="43">
        <f>V7+V8+V14+V15</f>
        <v>267716</v>
      </c>
      <c r="N29" s="43">
        <f>Z7+Z8+Z14+Z15</f>
        <v>513416</v>
      </c>
      <c r="O29" s="43">
        <f>SUM(J29:N29)</f>
        <v>5954172.7999999998</v>
      </c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</row>
    <row r="30" spans="1:27" x14ac:dyDescent="0.25">
      <c r="A30" s="311" t="s">
        <v>177</v>
      </c>
      <c r="B30" s="312"/>
      <c r="C30" s="312"/>
      <c r="D30" s="312"/>
      <c r="E30" s="312"/>
      <c r="F30" s="312"/>
      <c r="G30" s="312"/>
      <c r="H30" s="312"/>
      <c r="I30" s="313"/>
      <c r="J30" s="43">
        <f t="shared" ref="J30:O30" si="2">SUM(J31:J40)</f>
        <v>10138025</v>
      </c>
      <c r="K30" s="43">
        <f t="shared" si="2"/>
        <v>3172068</v>
      </c>
      <c r="L30" s="43">
        <f t="shared" si="2"/>
        <v>7415469</v>
      </c>
      <c r="M30" s="43">
        <f t="shared" si="2"/>
        <v>1622656</v>
      </c>
      <c r="N30" s="43">
        <f t="shared" si="2"/>
        <v>4042500</v>
      </c>
      <c r="O30" s="43">
        <f t="shared" si="2"/>
        <v>26390718</v>
      </c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</row>
    <row r="31" spans="1:27" x14ac:dyDescent="0.25">
      <c r="A31" s="308" t="s">
        <v>179</v>
      </c>
      <c r="B31" s="309"/>
      <c r="C31" s="309"/>
      <c r="D31" s="309"/>
      <c r="E31" s="309"/>
      <c r="F31" s="309"/>
      <c r="G31" s="309"/>
      <c r="H31" s="309"/>
      <c r="I31" s="310"/>
      <c r="J31" s="43"/>
      <c r="K31" s="43"/>
      <c r="L31" s="43"/>
      <c r="M31" s="43"/>
      <c r="N31" s="43"/>
      <c r="O31" s="3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</row>
    <row r="32" spans="1:27" x14ac:dyDescent="0.25">
      <c r="A32" s="296" t="s">
        <v>171</v>
      </c>
      <c r="B32" s="297"/>
      <c r="C32" s="297"/>
      <c r="D32" s="297"/>
      <c r="E32" s="297"/>
      <c r="F32" s="297"/>
      <c r="G32" s="297"/>
      <c r="H32" s="297"/>
      <c r="I32" s="298"/>
      <c r="J32" s="43"/>
      <c r="K32" s="43"/>
      <c r="L32" s="43"/>
      <c r="M32" s="43"/>
      <c r="N32" s="43"/>
      <c r="O32" s="3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</row>
    <row r="33" spans="1:27" x14ac:dyDescent="0.25">
      <c r="A33" s="36" t="s">
        <v>172</v>
      </c>
      <c r="B33" s="37"/>
      <c r="C33" s="37"/>
      <c r="D33" s="37"/>
      <c r="E33" s="37"/>
      <c r="F33" s="37"/>
      <c r="G33" s="37"/>
      <c r="H33" s="37"/>
      <c r="I33" s="38"/>
      <c r="J33" s="43">
        <f>798262*90%</f>
        <v>718435.8</v>
      </c>
      <c r="K33" s="43">
        <f>412694*90%</f>
        <v>371424.60000000003</v>
      </c>
      <c r="L33" s="43">
        <f>1489855*90%</f>
        <v>1340869.5</v>
      </c>
      <c r="M33" s="43">
        <f>241573*90%</f>
        <v>217415.7</v>
      </c>
      <c r="N33" s="43">
        <f>380760*90%</f>
        <v>342684</v>
      </c>
      <c r="O33" s="43">
        <f>SUM(J33:N33)</f>
        <v>2990829.6000000006</v>
      </c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</row>
    <row r="34" spans="1:27" x14ac:dyDescent="0.25">
      <c r="A34" s="296" t="s">
        <v>173</v>
      </c>
      <c r="B34" s="297"/>
      <c r="C34" s="297"/>
      <c r="D34" s="297"/>
      <c r="E34" s="297"/>
      <c r="F34" s="297"/>
      <c r="G34" s="297"/>
      <c r="H34" s="297"/>
      <c r="I34" s="298"/>
      <c r="J34" s="43">
        <f>3698572*50%</f>
        <v>1849286</v>
      </c>
      <c r="K34" s="43">
        <f>1828659*50%</f>
        <v>914329.5</v>
      </c>
      <c r="L34" s="43">
        <f>1403113*50%</f>
        <v>701556.5</v>
      </c>
      <c r="M34" s="43">
        <f>1376643*50%</f>
        <v>688321.5</v>
      </c>
      <c r="N34" s="43">
        <f>1192517*50%</f>
        <v>596258.5</v>
      </c>
      <c r="O34" s="43">
        <f t="shared" ref="O34:O35" si="3">SUM(J34:N34)</f>
        <v>4749752</v>
      </c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</row>
    <row r="35" spans="1:27" x14ac:dyDescent="0.25">
      <c r="A35" s="296" t="s">
        <v>174</v>
      </c>
      <c r="B35" s="297"/>
      <c r="C35" s="297"/>
      <c r="D35" s="297"/>
      <c r="E35" s="297"/>
      <c r="F35" s="297"/>
      <c r="G35" s="297"/>
      <c r="H35" s="297"/>
      <c r="I35" s="298"/>
      <c r="J35" s="43">
        <f>194595+283230</f>
        <v>477825</v>
      </c>
      <c r="K35" s="43">
        <f>99441+144734</f>
        <v>244175</v>
      </c>
      <c r="L35" s="43">
        <f>183953+267218</f>
        <v>451171</v>
      </c>
      <c r="M35" s="43">
        <v>134085</v>
      </c>
      <c r="N35" s="43">
        <f>109156+158874</f>
        <v>268030</v>
      </c>
      <c r="O35" s="43">
        <f t="shared" si="3"/>
        <v>1575286</v>
      </c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</row>
    <row r="36" spans="1:27" x14ac:dyDescent="0.25">
      <c r="A36" s="296" t="s">
        <v>180</v>
      </c>
      <c r="B36" s="297"/>
      <c r="C36" s="297"/>
      <c r="D36" s="297"/>
      <c r="E36" s="297"/>
      <c r="F36" s="297"/>
      <c r="G36" s="297"/>
      <c r="H36" s="297"/>
      <c r="I36" s="298"/>
      <c r="J36" s="43"/>
      <c r="K36" s="43"/>
      <c r="L36" s="43"/>
      <c r="M36" s="43"/>
      <c r="N36" s="43"/>
      <c r="O36" s="3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1:27" x14ac:dyDescent="0.25">
      <c r="A37" s="296" t="s">
        <v>181</v>
      </c>
      <c r="B37" s="297"/>
      <c r="C37" s="297"/>
      <c r="D37" s="297"/>
      <c r="E37" s="297"/>
      <c r="F37" s="297"/>
      <c r="G37" s="297"/>
      <c r="H37" s="297"/>
      <c r="I37" s="298"/>
      <c r="J37" s="43"/>
      <c r="K37" s="43"/>
      <c r="L37" s="43"/>
      <c r="M37" s="43"/>
      <c r="N37" s="43"/>
      <c r="O37" s="3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</row>
    <row r="38" spans="1:27" x14ac:dyDescent="0.25">
      <c r="A38" s="299" t="s">
        <v>182</v>
      </c>
      <c r="B38" s="300"/>
      <c r="C38" s="300"/>
      <c r="D38" s="300"/>
      <c r="E38" s="300"/>
      <c r="F38" s="300"/>
      <c r="G38" s="300"/>
      <c r="H38" s="300"/>
      <c r="I38" s="301"/>
      <c r="J38" s="43"/>
      <c r="K38" s="43"/>
      <c r="L38" s="43"/>
      <c r="M38" s="43"/>
      <c r="N38" s="43"/>
      <c r="O38" s="3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</row>
    <row r="39" spans="1:27" x14ac:dyDescent="0.25">
      <c r="A39" s="302"/>
      <c r="B39" s="303"/>
      <c r="C39" s="303"/>
      <c r="D39" s="303"/>
      <c r="E39" s="303"/>
      <c r="F39" s="303"/>
      <c r="G39" s="303"/>
      <c r="H39" s="303"/>
      <c r="I39" s="304"/>
      <c r="J39" s="43">
        <f>(J19-J33-J34-J35)+J9+J18-1500000+J11-19200</f>
        <v>5573278.2000000002</v>
      </c>
      <c r="K39" s="43">
        <f>N9+N18+N19-K33-K34-K35+N11-470220-11400</f>
        <v>1160518.8999999999</v>
      </c>
      <c r="L39" s="43">
        <f>R9+R11+R18+R19-L33-L34-L35-6200-393611</f>
        <v>4522061</v>
      </c>
      <c r="M39" s="43">
        <f>V9+V11+V18+V19-M33-M34-M35-M40</f>
        <v>287349.80000000005</v>
      </c>
      <c r="N39" s="43">
        <f>Z9+Z11+Z18+Z19-N33-N34-N35-6500-40884</f>
        <v>2788143.5</v>
      </c>
      <c r="O39" s="43">
        <f>SUM(J39:N39)</f>
        <v>14331351.4</v>
      </c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</row>
    <row r="40" spans="1:27" x14ac:dyDescent="0.25">
      <c r="A40" s="296" t="s">
        <v>175</v>
      </c>
      <c r="B40" s="297"/>
      <c r="C40" s="297"/>
      <c r="D40" s="297"/>
      <c r="E40" s="297"/>
      <c r="F40" s="297"/>
      <c r="G40" s="297"/>
      <c r="H40" s="297"/>
      <c r="I40" s="298"/>
      <c r="J40" s="43">
        <f>1500000+19200</f>
        <v>1519200</v>
      </c>
      <c r="K40" s="43">
        <f>470220+11400</f>
        <v>481620</v>
      </c>
      <c r="L40" s="43">
        <f>6200+63773+329838</f>
        <v>399811</v>
      </c>
      <c r="M40" s="43">
        <f>188884+106600</f>
        <v>295484</v>
      </c>
      <c r="N40" s="43">
        <f>6500+40884</f>
        <v>47384</v>
      </c>
      <c r="O40" s="43">
        <f t="shared" ref="O40:O41" si="4">SUM(J40:N40)</f>
        <v>2743499</v>
      </c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</row>
    <row r="41" spans="1:27" x14ac:dyDescent="0.25">
      <c r="A41" s="296" t="s">
        <v>183</v>
      </c>
      <c r="B41" s="297"/>
      <c r="C41" s="297"/>
      <c r="D41" s="297"/>
      <c r="E41" s="297"/>
      <c r="F41" s="297"/>
      <c r="G41" s="297"/>
      <c r="H41" s="297"/>
      <c r="I41" s="298"/>
      <c r="J41" s="43">
        <f>J26+J30</f>
        <v>15954965.800000001</v>
      </c>
      <c r="K41" s="43">
        <f>K26+K30</f>
        <v>6438271</v>
      </c>
      <c r="L41" s="43">
        <f>L26+L30</f>
        <v>10296742</v>
      </c>
      <c r="M41" s="43">
        <f>M26+M30</f>
        <v>2195249</v>
      </c>
      <c r="N41" s="43">
        <f>N26+N30</f>
        <v>5434456</v>
      </c>
      <c r="O41" s="43">
        <f t="shared" si="4"/>
        <v>40319683.799999997</v>
      </c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1:27" x14ac:dyDescent="0.25">
      <c r="A42" s="296" t="s">
        <v>184</v>
      </c>
      <c r="B42" s="297"/>
      <c r="C42" s="297"/>
      <c r="D42" s="297"/>
      <c r="E42" s="297"/>
      <c r="F42" s="297"/>
      <c r="G42" s="297"/>
      <c r="H42" s="297"/>
      <c r="I42" s="298"/>
      <c r="J42" s="43">
        <f>J41/G7</f>
        <v>18573.883352735738</v>
      </c>
      <c r="K42" s="43">
        <f>K41/K7</f>
        <v>22124.642611683848</v>
      </c>
      <c r="L42" s="43">
        <f>L41/O7</f>
        <v>36256.133802816905</v>
      </c>
      <c r="M42" s="43">
        <f>M41/S7</f>
        <v>45734.354166666664</v>
      </c>
      <c r="N42" s="43">
        <f>N41/W7</f>
        <v>48092.530973451328</v>
      </c>
      <c r="O42" s="3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1:27" x14ac:dyDescent="0.25"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</row>
    <row r="44" spans="1:27" x14ac:dyDescent="0.25">
      <c r="A44" s="1"/>
      <c r="B44" s="1"/>
      <c r="C44" s="1"/>
      <c r="D44" s="1"/>
      <c r="F44" s="54"/>
      <c r="G44" s="54"/>
      <c r="H44" s="54"/>
      <c r="I44" s="54"/>
      <c r="J44" s="54"/>
      <c r="K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</row>
    <row r="45" spans="1:27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1"/>
      <c r="T45" s="1"/>
      <c r="U45" s="1"/>
      <c r="V45" s="54"/>
      <c r="W45" s="54"/>
      <c r="X45" s="54"/>
      <c r="Y45" s="54"/>
      <c r="Z45" s="54"/>
      <c r="AA45" s="54"/>
    </row>
    <row r="46" spans="1:27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S46" s="1"/>
      <c r="T46" s="1"/>
      <c r="U46" s="1"/>
    </row>
    <row r="47" spans="1:27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S47" s="1"/>
      <c r="T47" s="1"/>
      <c r="U47" s="1"/>
      <c r="V47" s="1"/>
    </row>
    <row r="48" spans="1:27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S48" s="1"/>
      <c r="T48" s="1"/>
      <c r="U48" s="1"/>
      <c r="V48" s="1"/>
    </row>
    <row r="49" spans="1:28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>
        <v>2019</v>
      </c>
      <c r="O49" s="54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9"/>
    </row>
    <row r="50" spans="1:28" ht="26.25" customHeight="1" x14ac:dyDescent="0.25">
      <c r="A50" s="324" t="s">
        <v>4</v>
      </c>
      <c r="B50" s="326" t="s">
        <v>71</v>
      </c>
      <c r="C50" s="327"/>
      <c r="D50" s="328"/>
      <c r="E50" s="290" t="s">
        <v>2</v>
      </c>
      <c r="F50" s="276" t="s">
        <v>82</v>
      </c>
      <c r="G50" s="284" t="s">
        <v>74</v>
      </c>
      <c r="H50" s="285"/>
      <c r="I50" s="285"/>
      <c r="J50" s="286"/>
      <c r="K50" s="284" t="s">
        <v>75</v>
      </c>
      <c r="L50" s="285"/>
      <c r="M50" s="285"/>
      <c r="N50" s="286"/>
      <c r="O50" s="284" t="s">
        <v>76</v>
      </c>
      <c r="P50" s="285"/>
      <c r="Q50" s="285"/>
      <c r="R50" s="286"/>
      <c r="S50" s="284" t="s">
        <v>77</v>
      </c>
      <c r="T50" s="285"/>
      <c r="U50" s="285"/>
      <c r="V50" s="286"/>
      <c r="W50" s="284" t="s">
        <v>78</v>
      </c>
      <c r="X50" s="285"/>
      <c r="Y50" s="285"/>
      <c r="Z50" s="286"/>
      <c r="AA50" s="281" t="s">
        <v>294</v>
      </c>
      <c r="AB50" s="9"/>
    </row>
    <row r="51" spans="1:28" ht="51" x14ac:dyDescent="0.25">
      <c r="A51" s="325"/>
      <c r="B51" s="329"/>
      <c r="C51" s="330"/>
      <c r="D51" s="331"/>
      <c r="E51" s="291"/>
      <c r="F51" s="277"/>
      <c r="G51" s="47" t="s">
        <v>29</v>
      </c>
      <c r="H51" s="47" t="s">
        <v>13</v>
      </c>
      <c r="I51" s="47" t="s">
        <v>14</v>
      </c>
      <c r="J51" s="47" t="s">
        <v>25</v>
      </c>
      <c r="K51" s="47" t="s">
        <v>12</v>
      </c>
      <c r="L51" s="47" t="s">
        <v>13</v>
      </c>
      <c r="M51" s="47" t="s">
        <v>14</v>
      </c>
      <c r="N51" s="47" t="s">
        <v>25</v>
      </c>
      <c r="O51" s="47" t="s">
        <v>12</v>
      </c>
      <c r="P51" s="47" t="s">
        <v>13</v>
      </c>
      <c r="Q51" s="47" t="s">
        <v>3</v>
      </c>
      <c r="R51" s="47" t="s">
        <v>25</v>
      </c>
      <c r="S51" s="47" t="s">
        <v>12</v>
      </c>
      <c r="T51" s="47" t="s">
        <v>13</v>
      </c>
      <c r="U51" s="47" t="s">
        <v>23</v>
      </c>
      <c r="V51" s="48" t="s">
        <v>25</v>
      </c>
      <c r="W51" s="47" t="s">
        <v>12</v>
      </c>
      <c r="X51" s="47" t="s">
        <v>13</v>
      </c>
      <c r="Y51" s="47" t="s">
        <v>23</v>
      </c>
      <c r="Z51" s="47" t="s">
        <v>25</v>
      </c>
      <c r="AA51" s="281"/>
      <c r="AB51" s="13"/>
    </row>
    <row r="52" spans="1:28" x14ac:dyDescent="0.25">
      <c r="A52" s="56" t="s">
        <v>8</v>
      </c>
      <c r="B52" s="278" t="s">
        <v>72</v>
      </c>
      <c r="C52" s="279"/>
      <c r="D52" s="280"/>
      <c r="E52" s="68" t="s">
        <v>73</v>
      </c>
      <c r="F52" s="69">
        <v>3000</v>
      </c>
      <c r="G52" s="69">
        <v>49</v>
      </c>
      <c r="H52" s="69">
        <f>F52*G54</f>
        <v>747000</v>
      </c>
      <c r="I52" s="69">
        <v>20</v>
      </c>
      <c r="J52" s="146">
        <f>935686-50000</f>
        <v>885686</v>
      </c>
      <c r="K52" s="69">
        <v>21</v>
      </c>
      <c r="L52" s="69">
        <f>F52*K54</f>
        <v>156000</v>
      </c>
      <c r="M52" s="69">
        <v>70</v>
      </c>
      <c r="N52" s="69">
        <f>261032-50000</f>
        <v>211032</v>
      </c>
      <c r="O52" s="69">
        <v>20</v>
      </c>
      <c r="P52" s="69">
        <f>F52*O54</f>
        <v>255000</v>
      </c>
      <c r="Q52" s="69">
        <v>190</v>
      </c>
      <c r="R52" s="70">
        <f>476898-R53</f>
        <v>426898</v>
      </c>
      <c r="S52" s="69">
        <v>40</v>
      </c>
      <c r="T52" s="69">
        <f>F52*S54</f>
        <v>372000</v>
      </c>
      <c r="U52" s="69">
        <v>40</v>
      </c>
      <c r="V52" s="71">
        <f>507090-V53</f>
        <v>457090</v>
      </c>
      <c r="W52" s="69">
        <v>81</v>
      </c>
      <c r="X52" s="69">
        <f>F52*W52</f>
        <v>243000</v>
      </c>
      <c r="Y52" s="69">
        <v>60</v>
      </c>
      <c r="Z52" s="71">
        <f>385547-Z53</f>
        <v>335547</v>
      </c>
      <c r="AA52" s="71">
        <f t="shared" ref="AA52:AA65" si="5">J52+N52+R52+V52+Z52</f>
        <v>2316253</v>
      </c>
      <c r="AB52" s="9"/>
    </row>
    <row r="53" spans="1:28" x14ac:dyDescent="0.25">
      <c r="A53" s="56" t="s">
        <v>17</v>
      </c>
      <c r="B53" s="278" t="s">
        <v>79</v>
      </c>
      <c r="C53" s="279"/>
      <c r="D53" s="280"/>
      <c r="E53" s="69"/>
      <c r="F53" s="69"/>
      <c r="G53" s="69">
        <v>200</v>
      </c>
      <c r="H53" s="69"/>
      <c r="I53" s="69"/>
      <c r="J53" s="146">
        <v>50000</v>
      </c>
      <c r="K53" s="69">
        <v>31</v>
      </c>
      <c r="L53" s="69"/>
      <c r="M53" s="69"/>
      <c r="N53" s="69">
        <v>50000</v>
      </c>
      <c r="O53" s="69">
        <v>65</v>
      </c>
      <c r="P53" s="69"/>
      <c r="Q53" s="69"/>
      <c r="R53" s="70">
        <v>50000</v>
      </c>
      <c r="S53" s="69">
        <v>84</v>
      </c>
      <c r="T53" s="69"/>
      <c r="U53" s="69"/>
      <c r="V53" s="71">
        <v>50000</v>
      </c>
      <c r="W53" s="69"/>
      <c r="X53" s="69"/>
      <c r="Y53" s="69"/>
      <c r="Z53" s="71">
        <v>50000</v>
      </c>
      <c r="AA53" s="71">
        <f t="shared" si="5"/>
        <v>250000</v>
      </c>
      <c r="AB53" s="9"/>
    </row>
    <row r="54" spans="1:28" x14ac:dyDescent="0.25">
      <c r="A54" s="56" t="s">
        <v>20</v>
      </c>
      <c r="B54" s="314" t="s">
        <v>80</v>
      </c>
      <c r="C54" s="315"/>
      <c r="D54" s="316"/>
      <c r="E54" s="68" t="s">
        <v>73</v>
      </c>
      <c r="F54" s="69">
        <v>3500</v>
      </c>
      <c r="G54" s="69">
        <f>SUM(G52:G53)</f>
        <v>249</v>
      </c>
      <c r="H54" s="69">
        <f>F54*G54</f>
        <v>871500</v>
      </c>
      <c r="I54" s="282">
        <v>26</v>
      </c>
      <c r="J54" s="282">
        <v>1100182</v>
      </c>
      <c r="K54" s="69">
        <f>K52+K53</f>
        <v>52</v>
      </c>
      <c r="L54" s="69">
        <f>F54*K54</f>
        <v>182000</v>
      </c>
      <c r="M54" s="282">
        <v>85</v>
      </c>
      <c r="N54" s="282">
        <v>342779</v>
      </c>
      <c r="O54" s="69">
        <v>85</v>
      </c>
      <c r="P54" s="69">
        <f>F54*O54</f>
        <v>297500</v>
      </c>
      <c r="Q54" s="282">
        <v>80</v>
      </c>
      <c r="R54" s="343">
        <v>529711</v>
      </c>
      <c r="S54" s="69">
        <f>S52+S53</f>
        <v>124</v>
      </c>
      <c r="T54" s="69">
        <f>F54*S54</f>
        <v>434000</v>
      </c>
      <c r="U54" s="282">
        <v>240</v>
      </c>
      <c r="V54" s="343">
        <v>1025381</v>
      </c>
      <c r="W54" s="69">
        <v>81</v>
      </c>
      <c r="X54" s="69">
        <f>F54*W54</f>
        <v>283500</v>
      </c>
      <c r="Y54" s="282">
        <v>40</v>
      </c>
      <c r="Z54" s="343">
        <v>398859</v>
      </c>
      <c r="AA54" s="71">
        <f t="shared" si="5"/>
        <v>3396912</v>
      </c>
      <c r="AB54" s="9"/>
    </row>
    <row r="55" spans="1:28" x14ac:dyDescent="0.25">
      <c r="A55" s="56" t="s">
        <v>27</v>
      </c>
      <c r="B55" s="314" t="s">
        <v>81</v>
      </c>
      <c r="C55" s="315"/>
      <c r="D55" s="316"/>
      <c r="E55" s="68" t="s">
        <v>73</v>
      </c>
      <c r="F55" s="69"/>
      <c r="G55" s="69"/>
      <c r="H55" s="69"/>
      <c r="I55" s="283"/>
      <c r="J55" s="283"/>
      <c r="K55" s="69"/>
      <c r="L55" s="69"/>
      <c r="M55" s="283"/>
      <c r="N55" s="283"/>
      <c r="O55" s="69"/>
      <c r="P55" s="69"/>
      <c r="Q55" s="283"/>
      <c r="R55" s="344"/>
      <c r="S55" s="69"/>
      <c r="T55" s="69"/>
      <c r="U55" s="283"/>
      <c r="V55" s="344"/>
      <c r="W55" s="69"/>
      <c r="X55" s="69"/>
      <c r="Y55" s="283"/>
      <c r="Z55" s="344"/>
      <c r="AA55" s="71">
        <f t="shared" si="5"/>
        <v>0</v>
      </c>
      <c r="AB55" s="9"/>
    </row>
    <row r="56" spans="1:28" x14ac:dyDescent="0.25">
      <c r="A56" s="56" t="s">
        <v>83</v>
      </c>
      <c r="B56" s="314" t="s">
        <v>84</v>
      </c>
      <c r="C56" s="315"/>
      <c r="D56" s="316"/>
      <c r="E56" s="73" t="s">
        <v>73</v>
      </c>
      <c r="F56" s="69">
        <v>2500</v>
      </c>
      <c r="G56" s="69"/>
      <c r="H56" s="69">
        <f>F56*G54</f>
        <v>622500</v>
      </c>
      <c r="I56" s="69"/>
      <c r="J56" s="69">
        <v>633060</v>
      </c>
      <c r="K56" s="69"/>
      <c r="L56" s="69">
        <f>F56*K54</f>
        <v>130000</v>
      </c>
      <c r="M56" s="69">
        <v>350</v>
      </c>
      <c r="N56" s="69">
        <v>447244</v>
      </c>
      <c r="O56" s="69"/>
      <c r="Q56" s="69"/>
      <c r="R56" s="71">
        <v>594974</v>
      </c>
      <c r="S56" s="69"/>
      <c r="T56" s="69"/>
      <c r="U56" s="69"/>
      <c r="V56" s="71">
        <v>604868</v>
      </c>
      <c r="W56" s="69">
        <v>81</v>
      </c>
      <c r="X56" s="69"/>
      <c r="Y56" s="69"/>
      <c r="Z56" s="71">
        <v>440787</v>
      </c>
      <c r="AA56" s="71">
        <f t="shared" si="5"/>
        <v>2720933</v>
      </c>
      <c r="AB56" s="9"/>
    </row>
    <row r="57" spans="1:28" x14ac:dyDescent="0.25">
      <c r="A57" s="56" t="s">
        <v>85</v>
      </c>
      <c r="B57" s="314" t="s">
        <v>86</v>
      </c>
      <c r="C57" s="315"/>
      <c r="D57" s="316"/>
      <c r="E57" s="73" t="s">
        <v>73</v>
      </c>
      <c r="F57" s="69">
        <v>1000</v>
      </c>
      <c r="G57" s="69"/>
      <c r="H57" s="69">
        <f>F57*G54</f>
        <v>249000</v>
      </c>
      <c r="I57" s="69"/>
      <c r="J57" s="146">
        <v>202738</v>
      </c>
      <c r="K57" s="69"/>
      <c r="L57" s="69">
        <f>K57*F57</f>
        <v>0</v>
      </c>
      <c r="M57" s="69"/>
      <c r="N57" s="69">
        <v>137940</v>
      </c>
      <c r="O57" s="69"/>
      <c r="Q57" s="69"/>
      <c r="R57" s="75">
        <v>175880</v>
      </c>
      <c r="S57" s="69"/>
      <c r="T57" s="69">
        <f>S57*F57</f>
        <v>0</v>
      </c>
      <c r="U57" s="69"/>
      <c r="V57" s="75">
        <v>299625</v>
      </c>
      <c r="W57" s="69">
        <v>81</v>
      </c>
      <c r="X57" s="69"/>
      <c r="Y57" s="69"/>
      <c r="Z57" s="75">
        <v>243495</v>
      </c>
      <c r="AA57" s="71">
        <f t="shared" si="5"/>
        <v>1059678</v>
      </c>
      <c r="AB57" s="9"/>
    </row>
    <row r="58" spans="1:28" x14ac:dyDescent="0.25">
      <c r="A58" s="56" t="s">
        <v>87</v>
      </c>
      <c r="B58" s="314" t="s">
        <v>88</v>
      </c>
      <c r="C58" s="315"/>
      <c r="D58" s="316"/>
      <c r="E58" s="73" t="s">
        <v>73</v>
      </c>
      <c r="F58" s="69">
        <v>2500</v>
      </c>
      <c r="G58" s="69"/>
      <c r="H58" s="69">
        <f>G58*F58</f>
        <v>0</v>
      </c>
      <c r="I58" s="69"/>
      <c r="J58" s="146">
        <v>367120</v>
      </c>
      <c r="K58" s="69"/>
      <c r="L58" s="69">
        <f>K57*F58</f>
        <v>0</v>
      </c>
      <c r="M58" s="69"/>
      <c r="N58" s="69">
        <v>160800</v>
      </c>
      <c r="O58" s="69"/>
      <c r="Q58" s="69"/>
      <c r="R58" s="71">
        <v>200200</v>
      </c>
      <c r="S58" s="69"/>
      <c r="T58" s="69">
        <f>S57*F58</f>
        <v>0</v>
      </c>
      <c r="U58" s="69"/>
      <c r="V58" s="71">
        <v>251122</v>
      </c>
      <c r="W58" s="69"/>
      <c r="X58" s="69"/>
      <c r="Y58" s="69"/>
      <c r="Z58" s="71">
        <v>190296</v>
      </c>
      <c r="AA58" s="71">
        <f t="shared" si="5"/>
        <v>1169538</v>
      </c>
      <c r="AB58" s="9"/>
    </row>
    <row r="59" spans="1:28" x14ac:dyDescent="0.25">
      <c r="A59" s="57" t="s">
        <v>89</v>
      </c>
      <c r="B59" s="292" t="s">
        <v>90</v>
      </c>
      <c r="C59" s="293"/>
      <c r="D59" s="294"/>
      <c r="E59" s="76" t="s">
        <v>73</v>
      </c>
      <c r="F59" s="77"/>
      <c r="G59" s="77"/>
      <c r="H59" s="77"/>
      <c r="I59" s="77"/>
      <c r="J59" s="77">
        <v>4558801</v>
      </c>
      <c r="K59" s="77"/>
      <c r="L59" s="77"/>
      <c r="M59" s="77"/>
      <c r="N59" s="77">
        <v>64588</v>
      </c>
      <c r="O59" s="77"/>
      <c r="Q59" s="77"/>
      <c r="R59" s="78">
        <v>9249</v>
      </c>
      <c r="S59" s="77"/>
      <c r="T59" s="77"/>
      <c r="U59" s="77"/>
      <c r="V59" s="78">
        <v>6027580</v>
      </c>
      <c r="W59" s="77"/>
      <c r="X59" s="77"/>
      <c r="Y59" s="77"/>
      <c r="Z59" s="78">
        <v>64155</v>
      </c>
      <c r="AA59" s="71">
        <f t="shared" si="5"/>
        <v>10724373</v>
      </c>
      <c r="AB59" s="9"/>
    </row>
    <row r="60" spans="1:28" x14ac:dyDescent="0.25">
      <c r="A60" s="56" t="s">
        <v>91</v>
      </c>
      <c r="B60" s="278" t="s">
        <v>92</v>
      </c>
      <c r="C60" s="279"/>
      <c r="D60" s="280"/>
      <c r="E60" s="73" t="s">
        <v>73</v>
      </c>
      <c r="F60" s="69"/>
      <c r="G60" s="69"/>
      <c r="H60" s="69"/>
      <c r="I60" s="69"/>
      <c r="J60" s="69"/>
      <c r="K60" s="69"/>
      <c r="L60" s="69"/>
      <c r="M60" s="69"/>
      <c r="N60" s="69"/>
      <c r="O60" s="69"/>
      <c r="Q60" s="69"/>
      <c r="R60" s="71"/>
      <c r="S60" s="69"/>
      <c r="T60" s="69"/>
      <c r="U60" s="69"/>
      <c r="V60" s="71"/>
      <c r="W60" s="69"/>
      <c r="X60" s="69"/>
      <c r="Y60" s="69"/>
      <c r="Z60" s="71"/>
      <c r="AA60" s="71">
        <f t="shared" si="5"/>
        <v>0</v>
      </c>
      <c r="AB60" s="9"/>
    </row>
    <row r="61" spans="1:28" x14ac:dyDescent="0.25">
      <c r="A61" s="56" t="s">
        <v>93</v>
      </c>
      <c r="B61" s="278" t="s">
        <v>94</v>
      </c>
      <c r="C61" s="279"/>
      <c r="D61" s="280"/>
      <c r="E61" s="73" t="s">
        <v>73</v>
      </c>
      <c r="F61" s="69"/>
      <c r="G61" s="69"/>
      <c r="H61" s="69"/>
      <c r="I61" s="69"/>
      <c r="J61" s="146">
        <v>28200</v>
      </c>
      <c r="K61" s="69"/>
      <c r="L61" s="69"/>
      <c r="M61" s="69"/>
      <c r="N61" s="69">
        <v>21100</v>
      </c>
      <c r="O61" s="69"/>
      <c r="Q61" s="69"/>
      <c r="R61" s="71">
        <v>7000</v>
      </c>
      <c r="S61" s="69"/>
      <c r="T61" s="69"/>
      <c r="U61" s="69"/>
      <c r="V61" s="71">
        <v>21100</v>
      </c>
      <c r="W61" s="69"/>
      <c r="X61" s="69"/>
      <c r="Y61" s="69"/>
      <c r="Z61" s="71">
        <v>28200</v>
      </c>
      <c r="AA61" s="71">
        <f t="shared" si="5"/>
        <v>105600</v>
      </c>
      <c r="AB61" s="9"/>
    </row>
    <row r="62" spans="1:28" ht="16.5" customHeight="1" x14ac:dyDescent="0.25">
      <c r="A62" s="56">
        <v>11</v>
      </c>
      <c r="B62" s="295" t="s">
        <v>95</v>
      </c>
      <c r="C62" s="295"/>
      <c r="D62" s="295"/>
      <c r="E62" s="73" t="s">
        <v>73</v>
      </c>
      <c r="F62" s="69">
        <v>100</v>
      </c>
      <c r="G62" s="69"/>
      <c r="H62" s="69"/>
      <c r="I62" s="69"/>
      <c r="J62" s="146">
        <v>25708</v>
      </c>
      <c r="K62" s="69"/>
      <c r="L62" s="69"/>
      <c r="M62" s="69"/>
      <c r="N62" s="69">
        <v>7268</v>
      </c>
      <c r="O62" s="69"/>
      <c r="Q62" s="69"/>
      <c r="R62" s="71">
        <v>9979</v>
      </c>
      <c r="S62" s="69"/>
      <c r="T62" s="69"/>
      <c r="U62" s="69"/>
      <c r="V62" s="71">
        <v>15186</v>
      </c>
      <c r="W62" s="69"/>
      <c r="X62" s="69"/>
      <c r="Y62" s="69"/>
      <c r="Z62" s="71">
        <v>9329</v>
      </c>
      <c r="AA62" s="71">
        <f t="shared" si="5"/>
        <v>67470</v>
      </c>
      <c r="AB62" s="9"/>
    </row>
    <row r="63" spans="1:28" ht="16.5" customHeight="1" x14ac:dyDescent="0.25">
      <c r="A63" s="56" t="s">
        <v>100</v>
      </c>
      <c r="B63" s="278" t="s">
        <v>104</v>
      </c>
      <c r="C63" s="279"/>
      <c r="D63" s="280"/>
      <c r="E63" s="73" t="s">
        <v>73</v>
      </c>
      <c r="F63" s="69"/>
      <c r="G63" s="69"/>
      <c r="H63" s="69"/>
      <c r="I63" s="69"/>
      <c r="J63" s="146">
        <f>6098782+1841832</f>
        <v>7940614</v>
      </c>
      <c r="K63" s="69"/>
      <c r="L63" s="69"/>
      <c r="M63" s="69"/>
      <c r="N63" s="74">
        <f>3029830+915008</f>
        <v>3944838</v>
      </c>
      <c r="O63" s="69"/>
      <c r="P63" s="69"/>
      <c r="Q63" s="69"/>
      <c r="R63" s="71">
        <f>3417976+1032229</f>
        <v>4450205</v>
      </c>
      <c r="S63" s="69"/>
      <c r="T63" s="69"/>
      <c r="U63" s="69"/>
      <c r="V63" s="75">
        <f>4841204+1462043</f>
        <v>6303247</v>
      </c>
      <c r="W63" s="69"/>
      <c r="X63" s="69"/>
      <c r="Y63" s="69"/>
      <c r="Z63" s="75">
        <f>2834982+856165</f>
        <v>3691147</v>
      </c>
      <c r="AA63" s="71">
        <f t="shared" si="5"/>
        <v>26330051</v>
      </c>
      <c r="AB63" s="9"/>
    </row>
    <row r="64" spans="1:28" ht="16.5" customHeight="1" x14ac:dyDescent="0.25">
      <c r="A64" s="56" t="s">
        <v>101</v>
      </c>
      <c r="B64" s="278" t="s">
        <v>102</v>
      </c>
      <c r="C64" s="279"/>
      <c r="D64" s="280"/>
      <c r="E64" s="73" t="s">
        <v>73</v>
      </c>
      <c r="F64" s="69"/>
      <c r="G64" s="69"/>
      <c r="H64" s="69"/>
      <c r="I64" s="69"/>
      <c r="J64" s="69">
        <v>3908439</v>
      </c>
      <c r="K64" s="69"/>
      <c r="L64" s="69"/>
      <c r="M64" s="69"/>
      <c r="N64" s="69">
        <v>882721</v>
      </c>
      <c r="O64" s="69"/>
      <c r="P64" s="69"/>
      <c r="Q64" s="69"/>
      <c r="R64">
        <v>793293</v>
      </c>
      <c r="S64" s="69"/>
      <c r="T64" s="69"/>
      <c r="U64" s="69"/>
      <c r="V64" s="71">
        <v>2906381</v>
      </c>
      <c r="W64" s="69"/>
      <c r="X64" s="69"/>
      <c r="Y64" s="69"/>
      <c r="Z64" s="71">
        <v>1280158</v>
      </c>
      <c r="AA64" s="71">
        <f t="shared" si="5"/>
        <v>9770992</v>
      </c>
      <c r="AB64" s="9"/>
    </row>
    <row r="65" spans="1:28" x14ac:dyDescent="0.25">
      <c r="A65" s="339" t="s">
        <v>223</v>
      </c>
      <c r="B65" s="339"/>
      <c r="C65" s="339"/>
      <c r="D65" s="339"/>
      <c r="E65" s="79"/>
      <c r="F65" s="80"/>
      <c r="G65" s="80"/>
      <c r="H65" s="80"/>
      <c r="I65" s="80"/>
      <c r="J65" s="80">
        <f>SUM(J52:J64)</f>
        <v>19700548</v>
      </c>
      <c r="K65" s="80"/>
      <c r="L65" s="80"/>
      <c r="M65" s="80"/>
      <c r="N65" s="80">
        <f>SUM(N52:N64)</f>
        <v>6270310</v>
      </c>
      <c r="O65" s="80"/>
      <c r="P65" s="80"/>
      <c r="Q65" s="80"/>
      <c r="R65" s="81">
        <f>SUM(R52:R64)</f>
        <v>7247389</v>
      </c>
      <c r="S65" s="80"/>
      <c r="T65" s="80"/>
      <c r="U65" s="80"/>
      <c r="V65" s="81">
        <f>SUM(V52:V64)</f>
        <v>17961580</v>
      </c>
      <c r="W65" s="80"/>
      <c r="X65" s="80"/>
      <c r="Y65" s="80"/>
      <c r="Z65" s="80">
        <f>SUM(Z52:Z64)</f>
        <v>6731973</v>
      </c>
      <c r="AA65" s="81">
        <f t="shared" si="5"/>
        <v>57911800</v>
      </c>
      <c r="AB65" s="9"/>
    </row>
    <row r="66" spans="1:28" x14ac:dyDescent="0.25">
      <c r="A66" s="82"/>
      <c r="B66" s="83" t="s">
        <v>114</v>
      </c>
      <c r="C66" s="83"/>
      <c r="D66" s="83"/>
      <c r="E66" s="84"/>
      <c r="F66" s="54"/>
      <c r="G66" s="54"/>
      <c r="H66" s="54"/>
      <c r="I66" s="54"/>
      <c r="J66" s="88">
        <f>J65/(G52+G53)</f>
        <v>79118.666666666672</v>
      </c>
      <c r="K66" s="54"/>
      <c r="L66" s="54"/>
      <c r="M66" s="54"/>
      <c r="N66" s="88">
        <f>N65/K54</f>
        <v>120582.88461538461</v>
      </c>
      <c r="O66" s="54"/>
      <c r="P66" s="54"/>
      <c r="Q66" s="54"/>
      <c r="R66" s="88">
        <f>R65/O52</f>
        <v>362369.45</v>
      </c>
      <c r="S66" s="54"/>
      <c r="T66" s="54"/>
      <c r="U66" s="54"/>
      <c r="V66" s="54">
        <f>V65/S52</f>
        <v>449039.5</v>
      </c>
      <c r="W66" s="54"/>
      <c r="X66" s="54"/>
      <c r="Y66" s="54"/>
      <c r="Z66" s="54">
        <f>Z65/W52</f>
        <v>83110.777777777781</v>
      </c>
      <c r="AA66" s="54"/>
    </row>
    <row r="67" spans="1:28" x14ac:dyDescent="0.25">
      <c r="A67" s="67"/>
      <c r="B67" s="67"/>
      <c r="C67" s="67"/>
      <c r="D67" s="67"/>
      <c r="E67" s="67"/>
      <c r="F67" s="67"/>
      <c r="G67" s="67"/>
      <c r="H67" s="67"/>
      <c r="I67" s="67"/>
      <c r="J67" s="67" t="s">
        <v>255</v>
      </c>
      <c r="K67" s="67"/>
      <c r="L67" s="67"/>
      <c r="M67" s="67"/>
      <c r="N67" s="67"/>
      <c r="O67" s="67"/>
      <c r="P67" s="88"/>
    </row>
    <row r="68" spans="1:28" x14ac:dyDescent="0.25">
      <c r="A68" s="82"/>
      <c r="B68" s="83"/>
      <c r="C68" s="83"/>
      <c r="D68" s="83"/>
      <c r="E68" s="8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88"/>
      <c r="Q68" s="1"/>
      <c r="R68" s="1"/>
      <c r="S68" s="1"/>
      <c r="T68" s="1"/>
      <c r="V68" s="54"/>
      <c r="W68" s="54"/>
      <c r="X68" s="54"/>
      <c r="Y68" s="54"/>
      <c r="Z68" s="54"/>
      <c r="AA68" s="54"/>
    </row>
    <row r="69" spans="1:28" ht="30" x14ac:dyDescent="0.25">
      <c r="A69" s="376" t="s">
        <v>256</v>
      </c>
      <c r="B69" s="377"/>
      <c r="C69" s="377"/>
      <c r="D69" s="377"/>
      <c r="E69" s="377"/>
      <c r="F69" s="377"/>
      <c r="G69" s="377"/>
      <c r="H69" s="377"/>
      <c r="I69" s="378"/>
      <c r="J69" s="46" t="s">
        <v>192</v>
      </c>
      <c r="K69" s="46" t="s">
        <v>193</v>
      </c>
      <c r="L69" s="46" t="s">
        <v>194</v>
      </c>
      <c r="M69" s="46" t="s">
        <v>195</v>
      </c>
      <c r="N69" s="46" t="s">
        <v>196</v>
      </c>
      <c r="O69" s="46" t="s">
        <v>183</v>
      </c>
      <c r="P69" s="149"/>
      <c r="Q69" s="1"/>
      <c r="R69" s="1"/>
      <c r="S69" s="1"/>
      <c r="T69" s="1"/>
      <c r="V69" s="54"/>
      <c r="W69" s="54"/>
      <c r="X69" s="54"/>
      <c r="Y69" s="54"/>
      <c r="Z69" s="54"/>
      <c r="AA69" s="54"/>
    </row>
    <row r="70" spans="1:28" ht="32.25" customHeight="1" x14ac:dyDescent="0.25">
      <c r="A70" s="397" t="s">
        <v>257</v>
      </c>
      <c r="B70" s="398"/>
      <c r="C70" s="398"/>
      <c r="D70" s="398"/>
      <c r="E70" s="398"/>
      <c r="F70" s="398"/>
      <c r="G70" s="398"/>
      <c r="H70" s="398"/>
      <c r="I70" s="398"/>
      <c r="J70" s="398"/>
      <c r="K70" s="398"/>
      <c r="L70" s="398"/>
      <c r="M70" s="398"/>
      <c r="N70" s="398"/>
      <c r="O70" s="399"/>
      <c r="P70" s="149"/>
      <c r="Q70" s="1"/>
      <c r="R70" s="1"/>
      <c r="S70" s="1"/>
      <c r="T70" s="1"/>
      <c r="V70" s="54"/>
      <c r="W70" s="54"/>
      <c r="X70" s="88"/>
      <c r="Y70" s="54"/>
      <c r="Z70" s="54"/>
      <c r="AA70" s="54"/>
    </row>
    <row r="71" spans="1:28" x14ac:dyDescent="0.25">
      <c r="A71" s="376" t="s">
        <v>258</v>
      </c>
      <c r="B71" s="377"/>
      <c r="C71" s="377"/>
      <c r="D71" s="377"/>
      <c r="E71" s="377"/>
      <c r="F71" s="377"/>
      <c r="G71" s="377"/>
      <c r="H71" s="377"/>
      <c r="I71" s="378"/>
      <c r="J71" s="114">
        <f>J72+J73+J75</f>
        <v>306880.1124497992</v>
      </c>
      <c r="K71" s="114">
        <f>K72+K73+K75</f>
        <v>237518.07692307694</v>
      </c>
      <c r="L71" s="114">
        <f>L72+L74+L75</f>
        <v>204695.76470588235</v>
      </c>
      <c r="M71" s="114">
        <f t="shared" ref="M71:N71" si="6">M72+M73+M75</f>
        <v>352942.90322580643</v>
      </c>
      <c r="N71" s="114">
        <f t="shared" si="6"/>
        <v>0</v>
      </c>
      <c r="O71" s="114">
        <f>SUM(J71:N71)</f>
        <v>1102036.8573045651</v>
      </c>
      <c r="P71" s="150"/>
      <c r="Q71" s="1"/>
      <c r="V71" s="54"/>
      <c r="W71" s="54"/>
      <c r="X71" s="54"/>
      <c r="Y71" s="54"/>
      <c r="Z71" s="54"/>
      <c r="AA71" s="54"/>
    </row>
    <row r="72" spans="1:28" x14ac:dyDescent="0.25">
      <c r="A72" s="400" t="s">
        <v>259</v>
      </c>
      <c r="B72" s="401"/>
      <c r="C72" s="401"/>
      <c r="D72" s="401"/>
      <c r="E72" s="401"/>
      <c r="F72" s="401"/>
      <c r="G72" s="401"/>
      <c r="H72" s="401"/>
      <c r="I72" s="402"/>
      <c r="J72" s="7"/>
      <c r="K72" s="7"/>
      <c r="L72" s="7"/>
      <c r="M72" s="7"/>
      <c r="N72" s="7"/>
      <c r="O72" s="114">
        <f t="shared" ref="O72:O88" si="7">SUM(J72:N72)</f>
        <v>0</v>
      </c>
      <c r="P72" s="150"/>
      <c r="Q72" s="1"/>
      <c r="V72" s="54"/>
      <c r="W72" s="54"/>
      <c r="X72" s="54"/>
      <c r="Y72" s="54"/>
      <c r="Z72" s="54"/>
      <c r="AA72" s="54"/>
    </row>
    <row r="73" spans="1:28" x14ac:dyDescent="0.25">
      <c r="A73" s="274" t="s">
        <v>260</v>
      </c>
      <c r="B73" s="369"/>
      <c r="C73" s="369"/>
      <c r="D73" s="369"/>
      <c r="E73" s="369"/>
      <c r="F73" s="369"/>
      <c r="G73" s="369"/>
      <c r="H73" s="369"/>
      <c r="I73" s="275"/>
      <c r="J73" s="35">
        <f>J74</f>
        <v>117690.12851405622</v>
      </c>
      <c r="K73" s="35">
        <f>K74</f>
        <v>129166.15384615384</v>
      </c>
      <c r="L73" s="35">
        <f t="shared" ref="L73:N73" si="8">L74</f>
        <v>90136.470588235301</v>
      </c>
      <c r="M73" s="35">
        <f t="shared" si="8"/>
        <v>184466.77419354836</v>
      </c>
      <c r="N73" s="35">
        <f t="shared" si="8"/>
        <v>0</v>
      </c>
      <c r="O73" s="114">
        <f t="shared" si="7"/>
        <v>521459.52714199375</v>
      </c>
      <c r="P73" s="151"/>
      <c r="Q73" s="1"/>
    </row>
    <row r="74" spans="1:28" ht="42" customHeight="1" x14ac:dyDescent="0.25">
      <c r="A74" s="373" t="s">
        <v>261</v>
      </c>
      <c r="B74" s="374"/>
      <c r="C74" s="374"/>
      <c r="D74" s="374"/>
      <c r="E74" s="374"/>
      <c r="F74" s="374"/>
      <c r="G74" s="374"/>
      <c r="H74" s="374"/>
      <c r="I74" s="375"/>
      <c r="J74" s="35">
        <f>(J57+J58+J61)/249*49</f>
        <v>117690.12851405622</v>
      </c>
      <c r="K74" s="35">
        <f>(N57+N58+N61)/K54*K52</f>
        <v>129166.15384615384</v>
      </c>
      <c r="L74" s="35">
        <f>(R57+R58+R61)/O54*O52</f>
        <v>90136.470588235301</v>
      </c>
      <c r="M74" s="35">
        <f>(V57+V58+V61)/S54*S52</f>
        <v>184466.77419354836</v>
      </c>
      <c r="N74" s="35"/>
      <c r="O74" s="114">
        <f t="shared" si="7"/>
        <v>521459.52714199375</v>
      </c>
      <c r="P74" s="151"/>
      <c r="Q74" s="157"/>
    </row>
    <row r="75" spans="1:28" x14ac:dyDescent="0.25">
      <c r="A75" s="274" t="s">
        <v>262</v>
      </c>
      <c r="B75" s="369"/>
      <c r="C75" s="369"/>
      <c r="D75" s="369"/>
      <c r="E75" s="369"/>
      <c r="F75" s="369"/>
      <c r="G75" s="369"/>
      <c r="H75" s="369"/>
      <c r="I75" s="275"/>
      <c r="J75" s="35">
        <f>(J52+J53+J62)/249*49</f>
        <v>189189.98393574296</v>
      </c>
      <c r="K75" s="35">
        <f>(N52+N53+N62)/K54*K52</f>
        <v>108351.92307692308</v>
      </c>
      <c r="L75" s="35">
        <f>(R52+R53+R62)/O54*O52</f>
        <v>114559.29411764706</v>
      </c>
      <c r="M75" s="22">
        <f>(V52+V53+V62)/S54*S52</f>
        <v>168476.12903225806</v>
      </c>
      <c r="N75" s="35"/>
      <c r="O75" s="114">
        <f t="shared" si="7"/>
        <v>580577.33016257116</v>
      </c>
      <c r="P75" s="151"/>
      <c r="Q75" s="157"/>
    </row>
    <row r="76" spans="1:28" ht="15.75" customHeight="1" x14ac:dyDescent="0.25">
      <c r="A76" s="370" t="s">
        <v>263</v>
      </c>
      <c r="B76" s="371"/>
      <c r="C76" s="371"/>
      <c r="D76" s="371"/>
      <c r="E76" s="371"/>
      <c r="F76" s="371"/>
      <c r="G76" s="371"/>
      <c r="H76" s="371"/>
      <c r="I76" s="372"/>
      <c r="J76" s="114">
        <f>J77+J78+J84+J86</f>
        <v>3569935.7349397587</v>
      </c>
      <c r="K76" s="114">
        <f t="shared" ref="K76:N76" si="9">K77+K78+K84+K86</f>
        <v>2294722.5</v>
      </c>
      <c r="L76" s="114">
        <f t="shared" si="9"/>
        <v>1500572.2352941176</v>
      </c>
      <c r="M76" s="114">
        <f>M77+M78+M84+M86</f>
        <v>5441115.1612903234</v>
      </c>
      <c r="N76" s="114">
        <f t="shared" si="9"/>
        <v>0</v>
      </c>
      <c r="O76" s="114">
        <f t="shared" si="7"/>
        <v>12806345.6315242</v>
      </c>
      <c r="P76" s="152"/>
      <c r="Q76" s="54"/>
      <c r="R76" s="88"/>
      <c r="S76" s="88"/>
    </row>
    <row r="77" spans="1:28" ht="38.25" customHeight="1" x14ac:dyDescent="0.25">
      <c r="A77" s="373" t="s">
        <v>264</v>
      </c>
      <c r="B77" s="374"/>
      <c r="C77" s="374"/>
      <c r="D77" s="374"/>
      <c r="E77" s="374"/>
      <c r="F77" s="374"/>
      <c r="G77" s="374"/>
      <c r="H77" s="374"/>
      <c r="I77" s="375"/>
      <c r="J77" s="113">
        <f>J63/249*49</f>
        <v>1562610.7871485944</v>
      </c>
      <c r="K77" s="113">
        <f>(N63/52*21)</f>
        <v>1593107.653846154</v>
      </c>
      <c r="L77" s="113">
        <f>R63/O54*O52</f>
        <v>1047107.0588235294</v>
      </c>
      <c r="M77" s="113">
        <f>V63/S54*S52</f>
        <v>2033305.4838709678</v>
      </c>
      <c r="N77" s="113"/>
      <c r="O77" s="114">
        <f t="shared" si="7"/>
        <v>6236130.9836892448</v>
      </c>
      <c r="P77" s="152"/>
      <c r="Q77" s="54"/>
      <c r="R77" s="88"/>
      <c r="S77" s="88"/>
    </row>
    <row r="78" spans="1:28" x14ac:dyDescent="0.25">
      <c r="A78" s="274" t="s">
        <v>265</v>
      </c>
      <c r="B78" s="369"/>
      <c r="C78" s="369"/>
      <c r="D78" s="369"/>
      <c r="E78" s="369"/>
      <c r="F78" s="369"/>
      <c r="G78" s="369"/>
      <c r="H78" s="369"/>
      <c r="I78" s="275"/>
      <c r="J78" s="113">
        <f>SUM(J79:J81)</f>
        <v>550808.44899598393</v>
      </c>
      <c r="K78" s="113">
        <f t="shared" ref="K78:N78" si="10">SUM(K79:K81)</f>
        <v>266715.30576923076</v>
      </c>
      <c r="L78" s="113">
        <f t="shared" si="10"/>
        <v>132332.91764705881</v>
      </c>
      <c r="M78" s="113">
        <f t="shared" si="10"/>
        <v>759491.38709677418</v>
      </c>
      <c r="N78" s="113">
        <f t="shared" si="10"/>
        <v>0</v>
      </c>
      <c r="O78" s="114">
        <f t="shared" si="7"/>
        <v>1709348.0595090478</v>
      </c>
      <c r="P78" s="54"/>
      <c r="Q78" s="54"/>
      <c r="R78" s="88"/>
      <c r="S78" s="88"/>
    </row>
    <row r="79" spans="1:28" x14ac:dyDescent="0.25">
      <c r="A79" s="274" t="s">
        <v>172</v>
      </c>
      <c r="B79" s="369"/>
      <c r="C79" s="369"/>
      <c r="D79" s="369"/>
      <c r="E79" s="369"/>
      <c r="F79" s="369"/>
      <c r="G79" s="369"/>
      <c r="H79" s="369"/>
      <c r="I79" s="275"/>
      <c r="J79" s="35">
        <f>(924043*90%)/249*49</f>
        <v>163655.80843373496</v>
      </c>
      <c r="K79" s="35">
        <f>(272941*90%)/K54*K52</f>
        <v>99203.555769230778</v>
      </c>
      <c r="L79" s="35">
        <f>(414421*90%)/O54*O52</f>
        <v>87759.74117647059</v>
      </c>
      <c r="M79" s="35">
        <f>(370992*90%)/S54*S52</f>
        <v>107707.35483870967</v>
      </c>
      <c r="N79" s="35"/>
      <c r="O79" s="114">
        <f t="shared" si="7"/>
        <v>458326.46021814598</v>
      </c>
      <c r="P79" s="116"/>
      <c r="Q79" s="116"/>
      <c r="R79" s="88"/>
      <c r="S79" s="88"/>
    </row>
    <row r="80" spans="1:28" ht="18.75" customHeight="1" x14ac:dyDescent="0.25">
      <c r="A80" s="274" t="s">
        <v>173</v>
      </c>
      <c r="B80" s="369"/>
      <c r="C80" s="369"/>
      <c r="D80" s="369"/>
      <c r="E80" s="369"/>
      <c r="F80" s="369"/>
      <c r="G80" s="369"/>
      <c r="H80" s="369"/>
      <c r="I80" s="275"/>
      <c r="J80" s="35">
        <f>(2034057*50%)/249*49</f>
        <v>200138.13855421686</v>
      </c>
      <c r="K80" s="35">
        <f>(389978*50%)/K54*K52</f>
        <v>78745.557692307688</v>
      </c>
      <c r="L80" s="35">
        <f>(378872*50%)/O54*O52</f>
        <v>44573.176470588231</v>
      </c>
      <c r="M80" s="35">
        <f>(1029717*50%)/S54*S52</f>
        <v>166083.38709677421</v>
      </c>
      <c r="N80" s="35"/>
      <c r="O80" s="114">
        <f t="shared" si="7"/>
        <v>489540.25981388707</v>
      </c>
      <c r="P80" s="31"/>
      <c r="Q80" s="31"/>
    </row>
    <row r="81" spans="1:22" x14ac:dyDescent="0.25">
      <c r="A81" s="274" t="s">
        <v>174</v>
      </c>
      <c r="B81" s="369"/>
      <c r="C81" s="369"/>
      <c r="D81" s="369"/>
      <c r="E81" s="369"/>
      <c r="F81" s="369"/>
      <c r="G81" s="369"/>
      <c r="H81" s="369"/>
      <c r="I81" s="275"/>
      <c r="J81" s="35">
        <f>(390718+559621)/249*49</f>
        <v>187014.50200803211</v>
      </c>
      <c r="K81" s="35">
        <f>(90368+129434)/52*21</f>
        <v>88766.192307692298</v>
      </c>
      <c r="L81" s="35"/>
      <c r="M81" s="35">
        <f>(619035+886637)/S54*S52</f>
        <v>485700.6451612903</v>
      </c>
      <c r="N81" s="35"/>
      <c r="O81" s="114">
        <f t="shared" si="7"/>
        <v>761481.33947701473</v>
      </c>
      <c r="P81" s="31"/>
      <c r="Q81" s="31"/>
      <c r="V81" s="31"/>
    </row>
    <row r="82" spans="1:22" x14ac:dyDescent="0.25">
      <c r="A82" s="274" t="s">
        <v>266</v>
      </c>
      <c r="B82" s="369"/>
      <c r="C82" s="369"/>
      <c r="D82" s="369"/>
      <c r="E82" s="369"/>
      <c r="F82" s="369"/>
      <c r="G82" s="369"/>
      <c r="H82" s="369"/>
      <c r="I82" s="275"/>
      <c r="J82" s="35"/>
      <c r="K82" s="35"/>
      <c r="L82" s="35"/>
      <c r="M82" s="35"/>
      <c r="N82" s="35"/>
      <c r="O82" s="114">
        <f t="shared" si="7"/>
        <v>0</v>
      </c>
      <c r="P82" s="31"/>
      <c r="Q82" s="31"/>
      <c r="T82" s="18"/>
    </row>
    <row r="83" spans="1:22" x14ac:dyDescent="0.25">
      <c r="A83" s="274" t="s">
        <v>267</v>
      </c>
      <c r="B83" s="369"/>
      <c r="C83" s="369"/>
      <c r="D83" s="369"/>
      <c r="E83" s="369"/>
      <c r="F83" s="369"/>
      <c r="G83" s="369"/>
      <c r="H83" s="369"/>
      <c r="I83" s="275"/>
      <c r="J83" s="35"/>
      <c r="K83" s="35"/>
      <c r="L83" s="35"/>
      <c r="M83" s="35"/>
      <c r="N83" s="35"/>
      <c r="O83" s="114">
        <f t="shared" si="7"/>
        <v>0</v>
      </c>
    </row>
    <row r="84" spans="1:22" ht="32.25" customHeight="1" x14ac:dyDescent="0.25">
      <c r="A84" s="364" t="s">
        <v>268</v>
      </c>
      <c r="B84" s="268"/>
      <c r="C84" s="268"/>
      <c r="D84" s="268"/>
      <c r="E84" s="268"/>
      <c r="F84" s="268"/>
      <c r="G84" s="268"/>
      <c r="H84" s="268"/>
      <c r="I84" s="365"/>
      <c r="J84" s="31">
        <f>J85</f>
        <v>90970.172690763051</v>
      </c>
      <c r="K84" s="31">
        <f>K85</f>
        <v>50649.980769230773</v>
      </c>
      <c r="L84" s="43">
        <f>L85</f>
        <v>59787.058823529413</v>
      </c>
      <c r="M84" s="43">
        <f>M85</f>
        <v>147728.38709677418</v>
      </c>
      <c r="N84" s="35"/>
      <c r="O84" s="114">
        <f t="shared" si="7"/>
        <v>349135.59938029741</v>
      </c>
      <c r="P84" s="31"/>
    </row>
    <row r="85" spans="1:22" ht="32.25" customHeight="1" x14ac:dyDescent="0.25">
      <c r="A85" s="373" t="s">
        <v>271</v>
      </c>
      <c r="B85" s="374"/>
      <c r="C85" s="374"/>
      <c r="D85" s="374"/>
      <c r="E85" s="374"/>
      <c r="F85" s="374"/>
      <c r="G85" s="374"/>
      <c r="H85" s="374"/>
      <c r="I85" s="375"/>
      <c r="J85" s="148">
        <f>462277/249*49</f>
        <v>90970.172690763051</v>
      </c>
      <c r="K85" s="35">
        <f>(33376+29325+5350+6024+1640+554+2215+15645+31290)/52*21</f>
        <v>50649.980769230773</v>
      </c>
      <c r="L85" s="35">
        <f>(33376+23105+4215+4747+16940+5538+2215+4798+27952+131209)/O54*O52</f>
        <v>59787.058823529413</v>
      </c>
      <c r="M85" s="35">
        <f>(66752+47099+8591+9676+57857+19547+47448+5661+61783+122553+10991)/S54*S52</f>
        <v>147728.38709677418</v>
      </c>
      <c r="N85" s="35"/>
      <c r="O85" s="114">
        <f t="shared" si="7"/>
        <v>349135.59938029741</v>
      </c>
      <c r="P85" s="31"/>
    </row>
    <row r="86" spans="1:22" x14ac:dyDescent="0.25">
      <c r="A86" s="274" t="s">
        <v>270</v>
      </c>
      <c r="B86" s="369"/>
      <c r="C86" s="369"/>
      <c r="D86" s="369"/>
      <c r="E86" s="369"/>
      <c r="F86" s="369"/>
      <c r="G86" s="369"/>
      <c r="H86" s="369"/>
      <c r="I86" s="275"/>
      <c r="J86" s="35">
        <f>J87</f>
        <v>1365546.3261044174</v>
      </c>
      <c r="K86" s="35">
        <f>K87</f>
        <v>384249.55961538461</v>
      </c>
      <c r="L86" s="35">
        <f>L87</f>
        <v>261345.2</v>
      </c>
      <c r="M86" s="35">
        <f>M87</f>
        <v>2500589.9032258065</v>
      </c>
      <c r="N86" s="35"/>
      <c r="O86" s="114">
        <f t="shared" si="7"/>
        <v>4511730.988945609</v>
      </c>
      <c r="P86" s="31"/>
      <c r="S86" s="31"/>
    </row>
    <row r="87" spans="1:22" ht="122.25" customHeight="1" x14ac:dyDescent="0.25">
      <c r="A87" s="373" t="s">
        <v>269</v>
      </c>
      <c r="B87" s="374"/>
      <c r="C87" s="374"/>
      <c r="D87" s="374"/>
      <c r="E87" s="374"/>
      <c r="F87" s="374"/>
      <c r="G87" s="374"/>
      <c r="H87" s="374"/>
      <c r="I87" s="375"/>
      <c r="J87" s="35">
        <f>(6292049+1109432.8-462277)/249*49</f>
        <v>1365546.3261044174</v>
      </c>
      <c r="K87" s="35">
        <f>(N54+N56+N59+222283.1-125419)/52*21</f>
        <v>384249.55961538461</v>
      </c>
      <c r="L87" s="35">
        <f>(R54+R56+R59+41442.1+189436-254095)/O54*O52</f>
        <v>261345.2</v>
      </c>
      <c r="M87" s="35">
        <f>(V54+V56+V59+551957.7-457958)/S54*S52</f>
        <v>2500589.9032258065</v>
      </c>
      <c r="N87" s="35"/>
      <c r="O87" s="114">
        <f t="shared" si="7"/>
        <v>4511730.988945609</v>
      </c>
      <c r="P87" s="107"/>
      <c r="Q87" s="18"/>
    </row>
    <row r="88" spans="1:22" x14ac:dyDescent="0.25">
      <c r="A88" s="370" t="s">
        <v>183</v>
      </c>
      <c r="B88" s="371"/>
      <c r="C88" s="371"/>
      <c r="D88" s="371"/>
      <c r="E88" s="371"/>
      <c r="F88" s="371"/>
      <c r="G88" s="371"/>
      <c r="H88" s="371"/>
      <c r="I88" s="372"/>
      <c r="J88" s="147">
        <f>J71+J76</f>
        <v>3876815.8473895579</v>
      </c>
      <c r="K88" s="147">
        <f t="shared" ref="K88:N88" si="11">K71+K76</f>
        <v>2532240.576923077</v>
      </c>
      <c r="L88" s="147">
        <f t="shared" si="11"/>
        <v>1705268</v>
      </c>
      <c r="M88" s="147">
        <f t="shared" si="11"/>
        <v>5794058.0645161299</v>
      </c>
      <c r="N88" s="147">
        <f t="shared" si="11"/>
        <v>0</v>
      </c>
      <c r="O88" s="114">
        <f t="shared" si="7"/>
        <v>13908382.488828763</v>
      </c>
    </row>
    <row r="89" spans="1:22" x14ac:dyDescent="0.25">
      <c r="A89" s="403" t="s">
        <v>275</v>
      </c>
      <c r="B89" s="404"/>
      <c r="C89" s="404"/>
      <c r="D89" s="404"/>
      <c r="E89" s="404"/>
      <c r="F89" s="404"/>
      <c r="G89" s="404"/>
      <c r="H89" s="404"/>
      <c r="I89" s="405"/>
      <c r="J89" s="153">
        <f>J88/G52</f>
        <v>79118.690763052204</v>
      </c>
      <c r="K89" s="153">
        <f>K88/K52</f>
        <v>120582.88461538462</v>
      </c>
      <c r="L89" s="153">
        <f>L88/O52</f>
        <v>85263.4</v>
      </c>
      <c r="M89" s="153">
        <f>M88/S52</f>
        <v>144851.45161290324</v>
      </c>
      <c r="N89" s="153">
        <f>N88/W52</f>
        <v>0</v>
      </c>
      <c r="O89" s="154"/>
    </row>
    <row r="90" spans="1:22" x14ac:dyDescent="0.25">
      <c r="A90" s="155"/>
      <c r="B90" s="155"/>
      <c r="C90" s="155"/>
      <c r="D90" s="155"/>
      <c r="E90" s="155"/>
      <c r="F90" s="155"/>
      <c r="G90" s="155"/>
      <c r="H90" s="155"/>
      <c r="I90" s="155"/>
      <c r="J90" s="156"/>
      <c r="K90" s="156"/>
      <c r="L90" s="156"/>
      <c r="M90" s="156"/>
      <c r="N90" s="156"/>
      <c r="O90" s="119"/>
      <c r="P90" s="31"/>
    </row>
    <row r="91" spans="1:22" ht="33" customHeight="1" x14ac:dyDescent="0.25">
      <c r="A91" s="397" t="s">
        <v>272</v>
      </c>
      <c r="B91" s="398"/>
      <c r="C91" s="398"/>
      <c r="D91" s="398"/>
      <c r="E91" s="398"/>
      <c r="F91" s="398"/>
      <c r="G91" s="398"/>
      <c r="H91" s="398"/>
      <c r="I91" s="398"/>
      <c r="J91" s="398"/>
      <c r="K91" s="398"/>
      <c r="L91" s="398"/>
      <c r="M91" s="398"/>
      <c r="N91" s="398"/>
      <c r="O91" s="399"/>
    </row>
    <row r="92" spans="1:22" x14ac:dyDescent="0.25">
      <c r="A92" s="376" t="s">
        <v>258</v>
      </c>
      <c r="B92" s="377"/>
      <c r="C92" s="377"/>
      <c r="D92" s="377"/>
      <c r="E92" s="377"/>
      <c r="F92" s="377"/>
      <c r="G92" s="377"/>
      <c r="H92" s="377"/>
      <c r="I92" s="378"/>
      <c r="J92" s="114">
        <f>J93+J95+J96</f>
        <v>1252571.8875502008</v>
      </c>
      <c r="K92" s="114">
        <f>K93+K95+K96</f>
        <v>350621.92307692312</v>
      </c>
      <c r="L92" s="114">
        <f t="shared" ref="L92:N92" si="12">L93+L95+L96</f>
        <v>665261.23529411759</v>
      </c>
      <c r="M92" s="114">
        <f t="shared" si="12"/>
        <v>741180.09677419346</v>
      </c>
      <c r="N92" s="114">
        <f t="shared" si="12"/>
        <v>856867</v>
      </c>
      <c r="O92" s="114">
        <f>SUM(J92:N92)</f>
        <v>3866502.1426954349</v>
      </c>
    </row>
    <row r="93" spans="1:22" ht="30.75" customHeight="1" x14ac:dyDescent="0.25">
      <c r="A93" s="400" t="s">
        <v>259</v>
      </c>
      <c r="B93" s="401"/>
      <c r="C93" s="401"/>
      <c r="D93" s="401"/>
      <c r="E93" s="401"/>
      <c r="F93" s="401"/>
      <c r="G93" s="401"/>
      <c r="H93" s="401"/>
      <c r="I93" s="402"/>
      <c r="J93" s="7"/>
      <c r="K93" s="7"/>
      <c r="L93" s="7"/>
      <c r="M93" s="7"/>
      <c r="N93" s="7"/>
      <c r="O93" s="114">
        <f t="shared" ref="O93:O109" si="13">SUM(J93:N93)</f>
        <v>0</v>
      </c>
      <c r="S93" s="31"/>
      <c r="T93" s="31"/>
    </row>
    <row r="94" spans="1:22" x14ac:dyDescent="0.25">
      <c r="A94" s="274" t="s">
        <v>260</v>
      </c>
      <c r="B94" s="369"/>
      <c r="C94" s="369"/>
      <c r="D94" s="369"/>
      <c r="E94" s="369"/>
      <c r="F94" s="369"/>
      <c r="G94" s="369"/>
      <c r="H94" s="369"/>
      <c r="I94" s="275"/>
      <c r="J94" s="35">
        <f>J95</f>
        <v>480367.87148594379</v>
      </c>
      <c r="K94" s="35">
        <f t="shared" ref="K94:N94" si="14">K95</f>
        <v>190673.84615384616</v>
      </c>
      <c r="L94" s="35">
        <f t="shared" si="14"/>
        <v>292943.5294117647</v>
      </c>
      <c r="M94" s="35">
        <f t="shared" si="14"/>
        <v>387380.22580645158</v>
      </c>
      <c r="N94" s="35">
        <f t="shared" si="14"/>
        <v>461991</v>
      </c>
      <c r="O94" s="114">
        <f t="shared" si="13"/>
        <v>1813356.4728580061</v>
      </c>
    </row>
    <row r="95" spans="1:22" ht="42" customHeight="1" x14ac:dyDescent="0.25">
      <c r="A95" s="373" t="s">
        <v>261</v>
      </c>
      <c r="B95" s="374"/>
      <c r="C95" s="374"/>
      <c r="D95" s="374"/>
      <c r="E95" s="374"/>
      <c r="F95" s="374"/>
      <c r="G95" s="374"/>
      <c r="H95" s="374"/>
      <c r="I95" s="375"/>
      <c r="J95" s="35">
        <f>(J57+J58+J61)/249*200</f>
        <v>480367.87148594379</v>
      </c>
      <c r="K95" s="35">
        <f>(N57+N58+N61)/K54*K53</f>
        <v>190673.84615384616</v>
      </c>
      <c r="L95" s="35">
        <f>(R57+R58+R61)/O54*O53</f>
        <v>292943.5294117647</v>
      </c>
      <c r="M95" s="35">
        <f>(V57+V58+V61)/S54*S53</f>
        <v>387380.22580645158</v>
      </c>
      <c r="N95" s="35">
        <f>Z57+Z58+Z61</f>
        <v>461991</v>
      </c>
      <c r="O95" s="114">
        <f t="shared" si="13"/>
        <v>1813356.4728580061</v>
      </c>
    </row>
    <row r="96" spans="1:22" x14ac:dyDescent="0.25">
      <c r="A96" s="274" t="s">
        <v>262</v>
      </c>
      <c r="B96" s="369"/>
      <c r="C96" s="369"/>
      <c r="D96" s="369"/>
      <c r="E96" s="369"/>
      <c r="F96" s="369"/>
      <c r="G96" s="369"/>
      <c r="H96" s="369"/>
      <c r="I96" s="275"/>
      <c r="J96" s="35">
        <f>(J52+J53+J62)/249*200</f>
        <v>772204.01606425701</v>
      </c>
      <c r="K96" s="35">
        <f>(N52+N53+N62)/K54*K53</f>
        <v>159948.07692307694</v>
      </c>
      <c r="L96" s="35">
        <f>(R52+R53+R62)/O54*O53</f>
        <v>372317.70588235295</v>
      </c>
      <c r="M96" s="35">
        <f>(V52+V53+V62)/S54*S53</f>
        <v>353799.87096774194</v>
      </c>
      <c r="N96" s="35">
        <f>Z52+Z53+Z62</f>
        <v>394876</v>
      </c>
      <c r="O96" s="114">
        <f t="shared" si="13"/>
        <v>2053145.6698374287</v>
      </c>
    </row>
    <row r="97" spans="1:18" x14ac:dyDescent="0.25">
      <c r="A97" s="370" t="s">
        <v>263</v>
      </c>
      <c r="B97" s="371"/>
      <c r="C97" s="371"/>
      <c r="D97" s="371"/>
      <c r="E97" s="371"/>
      <c r="F97" s="371"/>
      <c r="G97" s="371"/>
      <c r="H97" s="371"/>
      <c r="I97" s="372"/>
      <c r="J97" s="114">
        <f>J98+J99+J105+J107</f>
        <v>14571160.216867469</v>
      </c>
      <c r="K97" s="114">
        <f>K98+K99+K106+K107</f>
        <v>3387447.5</v>
      </c>
      <c r="L97" s="114">
        <f t="shared" ref="L97:N97" si="15">L98+L99+L105+L107</f>
        <v>4876859.7647058824</v>
      </c>
      <c r="M97" s="114">
        <f t="shared" si="15"/>
        <v>11426341.86451613</v>
      </c>
      <c r="N97" s="114">
        <f t="shared" si="15"/>
        <v>5875106</v>
      </c>
      <c r="O97" s="114">
        <f t="shared" si="13"/>
        <v>40136915.346089482</v>
      </c>
    </row>
    <row r="98" spans="1:18" ht="38.25" customHeight="1" x14ac:dyDescent="0.25">
      <c r="A98" s="373" t="s">
        <v>264</v>
      </c>
      <c r="B98" s="374"/>
      <c r="C98" s="374"/>
      <c r="D98" s="374"/>
      <c r="E98" s="374"/>
      <c r="F98" s="374"/>
      <c r="G98" s="374"/>
      <c r="H98" s="374"/>
      <c r="I98" s="375"/>
      <c r="J98" s="113">
        <f>J63/249*200</f>
        <v>6378003.2128514051</v>
      </c>
      <c r="K98" s="113">
        <f>N63/52*K53</f>
        <v>2351730.3461538465</v>
      </c>
      <c r="L98" s="113">
        <f>R63/O54*O53</f>
        <v>3403097.9411764704</v>
      </c>
      <c r="M98" s="113">
        <f>V63/S54*S53</f>
        <v>4269941.5161290327</v>
      </c>
      <c r="N98" s="113">
        <f>Z63</f>
        <v>3691147</v>
      </c>
      <c r="O98" s="114">
        <f t="shared" si="13"/>
        <v>20093920.016310755</v>
      </c>
    </row>
    <row r="99" spans="1:18" x14ac:dyDescent="0.25">
      <c r="A99" s="274" t="s">
        <v>265</v>
      </c>
      <c r="B99" s="369"/>
      <c r="C99" s="369"/>
      <c r="D99" s="369"/>
      <c r="E99" s="369"/>
      <c r="F99" s="369"/>
      <c r="G99" s="369"/>
      <c r="H99" s="369"/>
      <c r="I99" s="275"/>
      <c r="J99" s="113">
        <f>SUM(J100:J102)</f>
        <v>2248197.751004016</v>
      </c>
      <c r="K99" s="113">
        <f t="shared" ref="K99:N99" si="16">SUM(K100:K102)</f>
        <v>393722.5942307692</v>
      </c>
      <c r="L99" s="113">
        <f t="shared" si="16"/>
        <v>430081.98235294118</v>
      </c>
      <c r="M99" s="113">
        <f t="shared" si="16"/>
        <v>1594931.9129032257</v>
      </c>
      <c r="N99" s="113">
        <f t="shared" si="16"/>
        <v>856841.8</v>
      </c>
      <c r="O99" s="114">
        <f t="shared" si="13"/>
        <v>5523776.0404909523</v>
      </c>
    </row>
    <row r="100" spans="1:18" x14ac:dyDescent="0.25">
      <c r="A100" s="274" t="s">
        <v>172</v>
      </c>
      <c r="B100" s="369"/>
      <c r="C100" s="369"/>
      <c r="D100" s="369"/>
      <c r="E100" s="369"/>
      <c r="F100" s="369"/>
      <c r="G100" s="369"/>
      <c r="H100" s="369"/>
      <c r="I100" s="275"/>
      <c r="J100" s="35">
        <f>(924043*90%)/249*200</f>
        <v>667982.89156626514</v>
      </c>
      <c r="K100" s="35">
        <f>(272941*90%)/K54*K53</f>
        <v>146443.34423076923</v>
      </c>
      <c r="L100" s="35">
        <f>(414421*90%)/O54*O53</f>
        <v>285219.15882352943</v>
      </c>
      <c r="M100" s="35">
        <f>(370992*90%)/S54*S53</f>
        <v>226185.44516129032</v>
      </c>
      <c r="N100" s="35">
        <f>185782*90%</f>
        <v>167203.80000000002</v>
      </c>
      <c r="O100" s="114">
        <f t="shared" si="13"/>
        <v>1493034.6397818541</v>
      </c>
      <c r="Q100" s="31"/>
    </row>
    <row r="101" spans="1:18" x14ac:dyDescent="0.25">
      <c r="A101" s="274" t="s">
        <v>173</v>
      </c>
      <c r="B101" s="369"/>
      <c r="C101" s="369"/>
      <c r="D101" s="369"/>
      <c r="E101" s="369"/>
      <c r="F101" s="369"/>
      <c r="G101" s="369"/>
      <c r="H101" s="369"/>
      <c r="I101" s="275"/>
      <c r="J101" s="35">
        <f>(2034057*50%)/249*200</f>
        <v>816890.36144578317</v>
      </c>
      <c r="K101" s="35">
        <f>(389978*50%)/K54*K53</f>
        <v>116243.4423076923</v>
      </c>
      <c r="L101" s="35">
        <f>(378872*50%)/O54*O53</f>
        <v>144862.82352941175</v>
      </c>
      <c r="M101" s="35">
        <f>(1029717*50%)/S54*S53</f>
        <v>348775.11290322582</v>
      </c>
      <c r="N101" s="35">
        <f>809476*50%</f>
        <v>404738</v>
      </c>
      <c r="O101" s="114">
        <f t="shared" si="13"/>
        <v>1831509.7401861129</v>
      </c>
    </row>
    <row r="102" spans="1:18" x14ac:dyDescent="0.25">
      <c r="A102" s="274" t="s">
        <v>174</v>
      </c>
      <c r="B102" s="369"/>
      <c r="C102" s="369"/>
      <c r="D102" s="369"/>
      <c r="E102" s="369"/>
      <c r="F102" s="369"/>
      <c r="G102" s="369"/>
      <c r="H102" s="369"/>
      <c r="I102" s="275"/>
      <c r="J102" s="35">
        <f>(390718+559621)/249*200</f>
        <v>763324.49799196783</v>
      </c>
      <c r="K102" s="35">
        <f>(90368+129434)/52*31</f>
        <v>131035.80769230769</v>
      </c>
      <c r="L102" s="35"/>
      <c r="M102" s="35">
        <f>(619035+886637)/S54*S53</f>
        <v>1019971.3548387096</v>
      </c>
      <c r="N102" s="35">
        <f>117133+167767</f>
        <v>284900</v>
      </c>
      <c r="O102" s="114">
        <f t="shared" si="13"/>
        <v>2199231.6605229853</v>
      </c>
      <c r="Q102" s="31"/>
    </row>
    <row r="103" spans="1:18" x14ac:dyDescent="0.25">
      <c r="A103" s="274" t="s">
        <v>266</v>
      </c>
      <c r="B103" s="369"/>
      <c r="C103" s="369"/>
      <c r="D103" s="369"/>
      <c r="E103" s="369"/>
      <c r="F103" s="369"/>
      <c r="G103" s="369"/>
      <c r="H103" s="369"/>
      <c r="I103" s="275"/>
      <c r="J103" s="35"/>
      <c r="K103" s="35"/>
      <c r="L103" s="35"/>
      <c r="M103" s="35"/>
      <c r="N103" s="35"/>
      <c r="O103" s="114">
        <f t="shared" si="13"/>
        <v>0</v>
      </c>
      <c r="R103" s="31"/>
    </row>
    <row r="104" spans="1:18" x14ac:dyDescent="0.25">
      <c r="A104" s="274" t="s">
        <v>267</v>
      </c>
      <c r="B104" s="369"/>
      <c r="C104" s="369"/>
      <c r="D104" s="369"/>
      <c r="E104" s="369"/>
      <c r="F104" s="369"/>
      <c r="G104" s="369"/>
      <c r="H104" s="369"/>
      <c r="I104" s="275"/>
      <c r="J104" s="35"/>
      <c r="K104" s="35"/>
      <c r="L104" s="35"/>
      <c r="M104" s="35"/>
      <c r="N104" s="35"/>
      <c r="O104" s="114">
        <f t="shared" si="13"/>
        <v>0</v>
      </c>
    </row>
    <row r="105" spans="1:18" ht="27.75" customHeight="1" x14ac:dyDescent="0.25">
      <c r="A105" s="364" t="s">
        <v>268</v>
      </c>
      <c r="B105" s="268"/>
      <c r="C105" s="268"/>
      <c r="D105" s="268"/>
      <c r="E105" s="268"/>
      <c r="F105" s="268"/>
      <c r="G105" s="268"/>
      <c r="H105" s="268"/>
      <c r="I105" s="365"/>
      <c r="J105" s="43">
        <f>J106</f>
        <v>371294.77911646588</v>
      </c>
      <c r="K105" s="43">
        <f>K106</f>
        <v>74769.019230769234</v>
      </c>
      <c r="L105" s="43">
        <f>L106</f>
        <v>194307.9411764706</v>
      </c>
      <c r="M105" s="43">
        <f>M106</f>
        <v>310229.61290322582</v>
      </c>
      <c r="N105" s="43">
        <f>N106</f>
        <v>204773</v>
      </c>
      <c r="O105" s="114">
        <f t="shared" si="13"/>
        <v>1155374.3524269317</v>
      </c>
    </row>
    <row r="106" spans="1:18" ht="27.75" customHeight="1" x14ac:dyDescent="0.25">
      <c r="A106" s="373" t="s">
        <v>271</v>
      </c>
      <c r="B106" s="374"/>
      <c r="C106" s="374"/>
      <c r="D106" s="374"/>
      <c r="E106" s="374"/>
      <c r="F106" s="374"/>
      <c r="G106" s="374"/>
      <c r="H106" s="374"/>
      <c r="I106" s="375"/>
      <c r="J106" s="35">
        <f>462262/249*200</f>
        <v>371294.77911646588</v>
      </c>
      <c r="K106" s="35">
        <f>(125419/52*31)</f>
        <v>74769.019230769234</v>
      </c>
      <c r="L106" s="35">
        <f>254095/O54*O53</f>
        <v>194307.9411764706</v>
      </c>
      <c r="M106" s="35">
        <f>(457958/S54*S53)</f>
        <v>310229.61290322582</v>
      </c>
      <c r="N106" s="35">
        <f>33376+38211+6970+7851+2164+731+3323+20860+31410+49543+10334</f>
        <v>204773</v>
      </c>
      <c r="O106" s="114">
        <f t="shared" si="13"/>
        <v>1155374.3524269317</v>
      </c>
    </row>
    <row r="107" spans="1:18" x14ac:dyDescent="0.25">
      <c r="A107" s="274" t="s">
        <v>270</v>
      </c>
      <c r="B107" s="369"/>
      <c r="C107" s="369"/>
      <c r="D107" s="369"/>
      <c r="E107" s="369"/>
      <c r="F107" s="369"/>
      <c r="G107" s="369"/>
      <c r="H107" s="369"/>
      <c r="I107" s="275"/>
      <c r="J107" s="35">
        <f>J108</f>
        <v>5573664.4738955814</v>
      </c>
      <c r="K107" s="35">
        <f>K108</f>
        <v>567225.54038461542</v>
      </c>
      <c r="L107" s="35">
        <f>L108</f>
        <v>849371.9</v>
      </c>
      <c r="M107" s="35">
        <f t="shared" ref="M107:N107" si="17">M108</f>
        <v>5251238.8225806449</v>
      </c>
      <c r="N107" s="35">
        <f t="shared" si="17"/>
        <v>1122344.2</v>
      </c>
      <c r="O107" s="114">
        <f t="shared" si="13"/>
        <v>13363844.936860841</v>
      </c>
    </row>
    <row r="108" spans="1:18" ht="132.75" customHeight="1" x14ac:dyDescent="0.25">
      <c r="A108" s="373" t="s">
        <v>269</v>
      </c>
      <c r="B108" s="374"/>
      <c r="C108" s="374"/>
      <c r="D108" s="374"/>
      <c r="E108" s="374"/>
      <c r="F108" s="374"/>
      <c r="G108" s="374"/>
      <c r="H108" s="374"/>
      <c r="I108" s="375"/>
      <c r="J108" s="35">
        <f>(6292049+1109432.8-462277)/249*200+6</f>
        <v>5573664.4738955814</v>
      </c>
      <c r="K108" s="35">
        <f>(N54+N56+N59+222283.1-125419)/52*31</f>
        <v>567225.54038461542</v>
      </c>
      <c r="L108" s="35">
        <f>(R54+R56+R59+41442.1+189436-254095)/O54*O53</f>
        <v>849371.9</v>
      </c>
      <c r="M108" s="35">
        <f>(V54+V56+V59+551957-457958)/S54*S53+0.5</f>
        <v>5251238.8225806449</v>
      </c>
      <c r="N108" s="35">
        <f>Z54+Z56+Z59-204773+423316.2</f>
        <v>1122344.2</v>
      </c>
      <c r="O108" s="114">
        <f t="shared" si="13"/>
        <v>13363844.936860841</v>
      </c>
    </row>
    <row r="109" spans="1:18" x14ac:dyDescent="0.25">
      <c r="A109" s="370" t="s">
        <v>183</v>
      </c>
      <c r="B109" s="371"/>
      <c r="C109" s="371"/>
      <c r="D109" s="371"/>
      <c r="E109" s="371"/>
      <c r="F109" s="371"/>
      <c r="G109" s="371"/>
      <c r="H109" s="371"/>
      <c r="I109" s="372"/>
      <c r="J109" s="147">
        <f>J92+J97</f>
        <v>15823732.104417671</v>
      </c>
      <c r="K109" s="147">
        <f t="shared" ref="K109:N109" si="18">K92+K97</f>
        <v>3738069.423076923</v>
      </c>
      <c r="L109" s="147">
        <f t="shared" si="18"/>
        <v>5542121</v>
      </c>
      <c r="M109" s="147">
        <f t="shared" si="18"/>
        <v>12167521.961290322</v>
      </c>
      <c r="N109" s="147">
        <f t="shared" si="18"/>
        <v>6731973</v>
      </c>
      <c r="O109" s="114">
        <f t="shared" si="13"/>
        <v>44003417.488784917</v>
      </c>
    </row>
    <row r="110" spans="1:18" x14ac:dyDescent="0.25">
      <c r="A110" s="403" t="s">
        <v>274</v>
      </c>
      <c r="B110" s="404"/>
      <c r="C110" s="404"/>
      <c r="D110" s="404"/>
      <c r="E110" s="404"/>
      <c r="F110" s="404"/>
      <c r="G110" s="404"/>
      <c r="H110" s="404"/>
      <c r="I110" s="405"/>
      <c r="J110" s="153">
        <f>J109/G53</f>
        <v>79118.66052208835</v>
      </c>
      <c r="K110" s="153">
        <f>K109/K53</f>
        <v>120582.88461538461</v>
      </c>
      <c r="L110" s="153">
        <f>L109/O53</f>
        <v>85263.4</v>
      </c>
      <c r="M110" s="153">
        <f>M109/S53</f>
        <v>144851.4519201229</v>
      </c>
      <c r="N110" s="153">
        <f>N109/W52</f>
        <v>83110.777777777781</v>
      </c>
      <c r="O110" s="154"/>
    </row>
    <row r="111" spans="1:18" x14ac:dyDescent="0.25">
      <c r="A111" s="143"/>
      <c r="B111" s="143"/>
      <c r="C111" s="143"/>
      <c r="D111" s="143"/>
      <c r="E111" s="143"/>
      <c r="F111" s="143"/>
      <c r="G111" s="143"/>
      <c r="H111" s="143"/>
      <c r="I111" s="143"/>
      <c r="J111" s="35"/>
      <c r="K111" s="35"/>
      <c r="L111" s="35"/>
      <c r="M111" s="35"/>
      <c r="N111" s="35"/>
      <c r="O111" s="7"/>
    </row>
    <row r="112" spans="1:18" x14ac:dyDescent="0.25">
      <c r="A112" s="376" t="s">
        <v>273</v>
      </c>
      <c r="B112" s="377"/>
      <c r="C112" s="377"/>
      <c r="D112" s="377"/>
      <c r="E112" s="377"/>
      <c r="F112" s="377"/>
      <c r="G112" s="377"/>
      <c r="H112" s="377"/>
      <c r="I112" s="378"/>
      <c r="J112" s="158">
        <f t="shared" ref="J112:O112" si="19">J88+J109</f>
        <v>19700547.951807227</v>
      </c>
      <c r="K112" s="158">
        <f t="shared" si="19"/>
        <v>6270310</v>
      </c>
      <c r="L112" s="158">
        <f t="shared" si="19"/>
        <v>7247389</v>
      </c>
      <c r="M112" s="158">
        <f t="shared" si="19"/>
        <v>17961580.025806453</v>
      </c>
      <c r="N112" s="158">
        <f t="shared" si="19"/>
        <v>6731973</v>
      </c>
      <c r="O112" s="158">
        <f t="shared" si="19"/>
        <v>57911799.97761368</v>
      </c>
    </row>
    <row r="113" spans="1:22" x14ac:dyDescent="0.25">
      <c r="A113" s="143"/>
      <c r="B113" s="143"/>
      <c r="C113" s="143"/>
      <c r="D113" s="143"/>
      <c r="E113" s="143"/>
      <c r="F113" s="143"/>
      <c r="G113" s="143"/>
      <c r="H113" s="143"/>
      <c r="I113" s="143"/>
      <c r="J113" s="35"/>
      <c r="K113" s="35"/>
      <c r="L113" s="35"/>
      <c r="M113" s="35"/>
      <c r="N113" s="35"/>
      <c r="O113" s="17"/>
    </row>
    <row r="114" spans="1:22" x14ac:dyDescent="0.25">
      <c r="A114" s="143"/>
      <c r="B114" s="143"/>
      <c r="C114" s="143"/>
      <c r="D114" s="143"/>
      <c r="E114" s="143"/>
      <c r="F114" s="143"/>
      <c r="G114" s="143"/>
      <c r="H114" s="143"/>
      <c r="I114" s="143"/>
      <c r="J114" s="35"/>
      <c r="K114" s="35"/>
      <c r="L114" s="35"/>
      <c r="M114" s="35"/>
      <c r="N114" s="35"/>
      <c r="O114" s="17"/>
    </row>
    <row r="115" spans="1:22" x14ac:dyDescent="0.25">
      <c r="A115" s="143"/>
      <c r="B115" s="143"/>
      <c r="C115" s="143"/>
      <c r="D115" s="143"/>
      <c r="E115" s="143"/>
      <c r="F115" s="143"/>
      <c r="G115" s="143"/>
      <c r="H115" s="143"/>
      <c r="I115" s="143"/>
      <c r="J115" s="35"/>
      <c r="K115" s="35"/>
      <c r="L115" s="35"/>
      <c r="M115" s="35"/>
      <c r="N115" s="35"/>
      <c r="O115" s="17"/>
    </row>
    <row r="116" spans="1:22" x14ac:dyDescent="0.25">
      <c r="A116" s="143"/>
      <c r="B116" s="143"/>
      <c r="C116" s="143"/>
      <c r="D116" s="143"/>
      <c r="E116" s="143"/>
      <c r="F116" s="143"/>
      <c r="G116" s="143"/>
      <c r="H116" s="143"/>
      <c r="I116" s="143"/>
      <c r="J116" s="35"/>
      <c r="K116" s="35"/>
      <c r="L116" s="35"/>
      <c r="M116" s="35"/>
      <c r="N116" s="35"/>
      <c r="O116" s="17"/>
    </row>
    <row r="117" spans="1:22" x14ac:dyDescent="0.25">
      <c r="A117" s="10"/>
      <c r="B117" s="10"/>
      <c r="C117" s="10"/>
      <c r="D117" s="10"/>
      <c r="E117" s="10"/>
      <c r="F117" s="10"/>
      <c r="G117" s="10"/>
      <c r="H117" s="10"/>
      <c r="I117" s="10"/>
      <c r="J117" s="107"/>
      <c r="K117" s="107"/>
      <c r="L117" s="107"/>
      <c r="M117" s="107"/>
      <c r="N117" s="107"/>
      <c r="O117" s="9"/>
    </row>
    <row r="118" spans="1:22" x14ac:dyDescent="0.25">
      <c r="A118" s="10"/>
      <c r="B118" s="10"/>
      <c r="C118" s="10"/>
      <c r="D118" s="10"/>
      <c r="E118" s="10"/>
      <c r="F118" s="10"/>
      <c r="G118" s="10"/>
      <c r="H118" s="10"/>
      <c r="I118" s="10"/>
      <c r="J118" s="107"/>
      <c r="K118" s="107"/>
      <c r="L118" s="107"/>
      <c r="M118" s="107"/>
      <c r="N118" s="107"/>
      <c r="O118" s="9"/>
      <c r="T118" s="18"/>
      <c r="V118" s="18"/>
    </row>
    <row r="119" spans="1:22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1" t="s">
        <v>236</v>
      </c>
      <c r="O119" s="1"/>
    </row>
    <row r="120" spans="1:22" x14ac:dyDescent="0.25">
      <c r="A120" s="82"/>
      <c r="B120" s="83"/>
      <c r="C120" s="83"/>
      <c r="D120" s="83"/>
      <c r="E120" s="84"/>
      <c r="F120" s="54"/>
      <c r="G120" s="54"/>
      <c r="H120" s="54"/>
      <c r="I120" s="54"/>
      <c r="J120" s="54"/>
      <c r="K120" s="54"/>
      <c r="L120" s="54"/>
      <c r="M120" s="54"/>
      <c r="N120" s="1" t="s">
        <v>239</v>
      </c>
      <c r="O120" s="1"/>
    </row>
    <row r="121" spans="1:22" x14ac:dyDescent="0.25">
      <c r="A121" s="34"/>
      <c r="B121" s="32"/>
      <c r="C121" s="32"/>
      <c r="D121" s="32"/>
      <c r="E121" s="33"/>
      <c r="N121" s="1" t="s">
        <v>233</v>
      </c>
      <c r="O121" s="1"/>
    </row>
    <row r="122" spans="1:22" x14ac:dyDescent="0.25">
      <c r="N122" s="1" t="s">
        <v>254</v>
      </c>
      <c r="O122" s="1"/>
    </row>
    <row r="123" spans="1:22" ht="38.25" customHeight="1" x14ac:dyDescent="0.25">
      <c r="A123" s="324" t="s">
        <v>4</v>
      </c>
      <c r="B123" s="326" t="s">
        <v>71</v>
      </c>
      <c r="C123" s="327"/>
      <c r="D123" s="328"/>
      <c r="E123" s="290" t="s">
        <v>2</v>
      </c>
      <c r="F123" s="276" t="s">
        <v>107</v>
      </c>
      <c r="G123" s="281" t="s">
        <v>38</v>
      </c>
      <c r="H123" s="281"/>
      <c r="I123" s="281"/>
      <c r="J123" s="281"/>
      <c r="K123" s="281" t="s">
        <v>39</v>
      </c>
      <c r="L123" s="281"/>
      <c r="M123" s="281"/>
      <c r="N123" s="281"/>
      <c r="O123" s="284" t="s">
        <v>40</v>
      </c>
      <c r="P123" s="285"/>
      <c r="Q123" s="285"/>
      <c r="R123" s="286"/>
      <c r="S123" s="276" t="s">
        <v>110</v>
      </c>
    </row>
    <row r="124" spans="1:22" ht="51" x14ac:dyDescent="0.25">
      <c r="A124" s="325"/>
      <c r="B124" s="329"/>
      <c r="C124" s="330"/>
      <c r="D124" s="331"/>
      <c r="E124" s="291"/>
      <c r="F124" s="277"/>
      <c r="G124" s="47" t="s">
        <v>108</v>
      </c>
      <c r="H124" s="47" t="s">
        <v>13</v>
      </c>
      <c r="I124" s="47" t="s">
        <v>14</v>
      </c>
      <c r="J124" s="47" t="s">
        <v>25</v>
      </c>
      <c r="K124" s="47" t="s">
        <v>12</v>
      </c>
      <c r="L124" s="47" t="s">
        <v>116</v>
      </c>
      <c r="M124" s="47" t="s">
        <v>14</v>
      </c>
      <c r="N124" s="47" t="s">
        <v>25</v>
      </c>
      <c r="O124" s="47" t="s">
        <v>12</v>
      </c>
      <c r="P124" s="47" t="s">
        <v>116</v>
      </c>
      <c r="Q124" s="47" t="s">
        <v>3</v>
      </c>
      <c r="R124" s="47" t="s">
        <v>25</v>
      </c>
      <c r="S124" s="277"/>
    </row>
    <row r="125" spans="1:22" x14ac:dyDescent="0.25">
      <c r="A125" s="49" t="s">
        <v>8</v>
      </c>
      <c r="B125" s="287" t="s">
        <v>72</v>
      </c>
      <c r="C125" s="288"/>
      <c r="D125" s="289"/>
      <c r="E125" s="50" t="s">
        <v>73</v>
      </c>
      <c r="F125" s="85">
        <v>3000</v>
      </c>
      <c r="G125" s="51">
        <v>190</v>
      </c>
      <c r="H125" s="86"/>
      <c r="I125" s="51"/>
      <c r="J125" s="86">
        <f>483228-241800</f>
        <v>241428</v>
      </c>
      <c r="K125" s="51">
        <v>531</v>
      </c>
      <c r="L125" s="85">
        <v>1000</v>
      </c>
      <c r="M125" s="51"/>
      <c r="N125" s="86">
        <f>803993-220000</f>
        <v>583993</v>
      </c>
      <c r="O125" s="51">
        <v>571</v>
      </c>
      <c r="P125" s="85">
        <v>1000</v>
      </c>
      <c r="Q125" s="51">
        <v>28</v>
      </c>
      <c r="R125" s="86">
        <v>879353</v>
      </c>
      <c r="S125" s="86">
        <f t="shared" ref="S125:S137" si="20">J125+N125+R125</f>
        <v>1704774</v>
      </c>
    </row>
    <row r="126" spans="1:22" x14ac:dyDescent="0.25">
      <c r="A126" s="49" t="s">
        <v>17</v>
      </c>
      <c r="B126" s="287" t="s">
        <v>79</v>
      </c>
      <c r="C126" s="288"/>
      <c r="D126" s="289"/>
      <c r="E126" s="50" t="s">
        <v>73</v>
      </c>
      <c r="F126" s="85">
        <v>1100</v>
      </c>
      <c r="G126" s="51"/>
      <c r="H126" s="86"/>
      <c r="I126" s="51"/>
      <c r="J126" s="86">
        <v>350000</v>
      </c>
      <c r="K126" s="51"/>
      <c r="L126" s="85">
        <v>250</v>
      </c>
      <c r="M126" s="51"/>
      <c r="N126" s="86">
        <v>220000</v>
      </c>
      <c r="O126" s="51"/>
      <c r="P126" s="85">
        <v>450</v>
      </c>
      <c r="Q126" s="51"/>
      <c r="R126" s="86">
        <v>200000</v>
      </c>
      <c r="S126" s="86">
        <f t="shared" si="20"/>
        <v>770000</v>
      </c>
    </row>
    <row r="127" spans="1:22" x14ac:dyDescent="0.25">
      <c r="A127" s="49" t="s">
        <v>20</v>
      </c>
      <c r="B127" s="317" t="s">
        <v>105</v>
      </c>
      <c r="C127" s="318"/>
      <c r="D127" s="319"/>
      <c r="E127" s="50" t="s">
        <v>73</v>
      </c>
      <c r="F127" s="85">
        <v>280</v>
      </c>
      <c r="G127" s="51"/>
      <c r="H127" s="86"/>
      <c r="I127" s="51"/>
      <c r="J127" s="86"/>
      <c r="K127" s="51"/>
      <c r="L127" s="85">
        <v>170</v>
      </c>
      <c r="M127" s="51"/>
      <c r="N127" s="86"/>
      <c r="O127" s="51"/>
      <c r="P127" s="85">
        <v>450</v>
      </c>
      <c r="Q127" s="51"/>
      <c r="R127" s="86"/>
      <c r="S127" s="86">
        <f t="shared" si="20"/>
        <v>0</v>
      </c>
    </row>
    <row r="128" spans="1:22" x14ac:dyDescent="0.25">
      <c r="A128" s="49" t="s">
        <v>27</v>
      </c>
      <c r="B128" s="320" t="s">
        <v>102</v>
      </c>
      <c r="C128" s="320"/>
      <c r="D128" s="320"/>
      <c r="E128" s="50" t="s">
        <v>73</v>
      </c>
      <c r="F128" s="86"/>
      <c r="G128" s="51"/>
      <c r="H128" s="86"/>
      <c r="I128" s="51"/>
      <c r="J128" s="86">
        <f>922913-20973</f>
        <v>901940</v>
      </c>
      <c r="K128" s="51"/>
      <c r="L128" s="86"/>
      <c r="M128" s="51"/>
      <c r="N128" s="86">
        <v>354687</v>
      </c>
      <c r="O128" s="51"/>
      <c r="P128" s="86"/>
      <c r="Q128" s="51"/>
      <c r="R128" s="86">
        <f>4332158+219033</f>
        <v>4551191</v>
      </c>
      <c r="S128" s="86">
        <f t="shared" si="20"/>
        <v>5807818</v>
      </c>
    </row>
    <row r="129" spans="1:19" x14ac:dyDescent="0.25">
      <c r="A129" s="49" t="s">
        <v>83</v>
      </c>
      <c r="B129" s="320" t="s">
        <v>106</v>
      </c>
      <c r="C129" s="320"/>
      <c r="D129" s="320"/>
      <c r="E129" s="50" t="s">
        <v>73</v>
      </c>
      <c r="F129" s="85">
        <v>3.3</v>
      </c>
      <c r="G129" s="87">
        <v>54940</v>
      </c>
      <c r="H129" s="88"/>
      <c r="I129" s="51"/>
      <c r="J129" s="86">
        <v>922397</v>
      </c>
      <c r="K129" s="51"/>
      <c r="L129" s="85">
        <v>0.48</v>
      </c>
      <c r="M129" s="51"/>
      <c r="N129" s="86">
        <v>299797</v>
      </c>
      <c r="O129" s="51"/>
      <c r="P129" s="85">
        <v>0.67</v>
      </c>
      <c r="Q129" s="51"/>
      <c r="R129" s="89">
        <v>660000</v>
      </c>
      <c r="S129" s="86">
        <f t="shared" si="20"/>
        <v>1882194</v>
      </c>
    </row>
    <row r="130" spans="1:19" x14ac:dyDescent="0.25">
      <c r="A130" s="49" t="s">
        <v>85</v>
      </c>
      <c r="B130" s="320" t="s">
        <v>109</v>
      </c>
      <c r="C130" s="320"/>
      <c r="D130" s="320"/>
      <c r="E130" s="50" t="s">
        <v>73</v>
      </c>
      <c r="F130" s="85">
        <v>4.9000000000000004</v>
      </c>
      <c r="G130" s="51">
        <v>54940</v>
      </c>
      <c r="H130" s="86"/>
      <c r="I130" s="51"/>
      <c r="J130" s="86"/>
      <c r="K130" s="51"/>
      <c r="L130" s="85">
        <v>0.73</v>
      </c>
      <c r="M130" s="51"/>
      <c r="N130" s="86"/>
      <c r="O130" s="51"/>
      <c r="P130" s="85">
        <v>1.9</v>
      </c>
      <c r="Q130" s="51"/>
      <c r="R130" s="89"/>
      <c r="S130" s="86">
        <f t="shared" si="20"/>
        <v>0</v>
      </c>
    </row>
    <row r="131" spans="1:19" x14ac:dyDescent="0.25">
      <c r="A131" s="63" t="s">
        <v>87</v>
      </c>
      <c r="B131" s="321" t="s">
        <v>84</v>
      </c>
      <c r="C131" s="322"/>
      <c r="D131" s="323"/>
      <c r="E131" s="58" t="s">
        <v>73</v>
      </c>
      <c r="F131" s="90">
        <v>320</v>
      </c>
      <c r="G131" s="59"/>
      <c r="H131" s="91">
        <f>F131*5.46*170</f>
        <v>297024</v>
      </c>
      <c r="I131" s="59"/>
      <c r="J131" s="91">
        <v>396979</v>
      </c>
      <c r="K131" s="54"/>
      <c r="L131" s="90">
        <v>770</v>
      </c>
      <c r="M131" s="59"/>
      <c r="N131" s="91">
        <v>346422</v>
      </c>
      <c r="O131" s="59"/>
      <c r="P131" s="90"/>
      <c r="Q131" s="59"/>
      <c r="R131" s="91">
        <v>570000</v>
      </c>
      <c r="S131" s="86">
        <f t="shared" si="20"/>
        <v>1313401</v>
      </c>
    </row>
    <row r="132" spans="1:19" x14ac:dyDescent="0.25">
      <c r="A132" s="49" t="s">
        <v>89</v>
      </c>
      <c r="B132" s="314" t="s">
        <v>86</v>
      </c>
      <c r="C132" s="315"/>
      <c r="D132" s="316"/>
      <c r="E132" s="58" t="s">
        <v>73</v>
      </c>
      <c r="F132" s="52">
        <v>2.89</v>
      </c>
      <c r="G132" s="51"/>
      <c r="H132" s="86">
        <f>F132*G130</f>
        <v>158776.6</v>
      </c>
      <c r="I132" s="51"/>
      <c r="J132" s="92">
        <v>290600</v>
      </c>
      <c r="K132" s="93"/>
      <c r="L132" s="85">
        <v>0.9</v>
      </c>
      <c r="M132" s="93"/>
      <c r="N132" s="92">
        <v>150000</v>
      </c>
      <c r="O132" s="93"/>
      <c r="P132" s="85">
        <v>0.33</v>
      </c>
      <c r="Q132" s="93"/>
      <c r="R132" s="92"/>
      <c r="S132" s="86">
        <f t="shared" si="20"/>
        <v>440600</v>
      </c>
    </row>
    <row r="133" spans="1:19" x14ac:dyDescent="0.25">
      <c r="A133" s="49" t="s">
        <v>91</v>
      </c>
      <c r="B133" s="314" t="s">
        <v>88</v>
      </c>
      <c r="C133" s="315"/>
      <c r="D133" s="316"/>
      <c r="E133" s="58" t="s">
        <v>73</v>
      </c>
      <c r="F133" s="52">
        <v>5.3</v>
      </c>
      <c r="G133" s="51"/>
      <c r="H133" s="86">
        <f>F133*G130</f>
        <v>291182</v>
      </c>
      <c r="I133" s="51"/>
      <c r="J133" s="92">
        <v>430373</v>
      </c>
      <c r="K133" s="93"/>
      <c r="L133" s="85">
        <v>0.98</v>
      </c>
      <c r="M133" s="93"/>
      <c r="N133" s="92">
        <v>384700</v>
      </c>
      <c r="O133" s="93"/>
      <c r="P133" s="85">
        <v>1.58</v>
      </c>
      <c r="Q133" s="93"/>
      <c r="R133" s="92">
        <v>1105305</v>
      </c>
      <c r="S133" s="86">
        <f t="shared" si="20"/>
        <v>1920378</v>
      </c>
    </row>
    <row r="134" spans="1:19" x14ac:dyDescent="0.25">
      <c r="A134" s="49" t="s">
        <v>93</v>
      </c>
      <c r="B134" s="292" t="s">
        <v>90</v>
      </c>
      <c r="C134" s="293"/>
      <c r="D134" s="294"/>
      <c r="E134" s="58" t="s">
        <v>73</v>
      </c>
      <c r="F134" s="51"/>
      <c r="G134" s="51"/>
      <c r="H134" s="86"/>
      <c r="I134" s="51"/>
      <c r="J134" s="117">
        <f>346814+31347</f>
        <v>378161</v>
      </c>
      <c r="K134" s="93"/>
      <c r="L134" s="92"/>
      <c r="M134" s="93"/>
      <c r="N134" s="117">
        <v>29750</v>
      </c>
      <c r="O134" s="93"/>
      <c r="P134" s="92"/>
      <c r="Q134" s="93"/>
      <c r="R134" s="117">
        <v>4255103</v>
      </c>
      <c r="S134" s="86">
        <f t="shared" si="20"/>
        <v>4663014</v>
      </c>
    </row>
    <row r="135" spans="1:19" x14ac:dyDescent="0.25">
      <c r="A135" s="49">
        <v>11</v>
      </c>
      <c r="B135" s="295" t="s">
        <v>95</v>
      </c>
      <c r="C135" s="295"/>
      <c r="D135" s="295"/>
      <c r="E135" s="58" t="s">
        <v>73</v>
      </c>
      <c r="F135" s="52">
        <v>760</v>
      </c>
      <c r="G135" s="51"/>
      <c r="H135" s="86"/>
      <c r="I135" s="51"/>
      <c r="J135" s="86">
        <v>154960</v>
      </c>
      <c r="K135" s="51"/>
      <c r="L135" s="85">
        <v>920</v>
      </c>
      <c r="M135" s="51"/>
      <c r="N135" s="86">
        <v>187200</v>
      </c>
      <c r="O135" s="51"/>
      <c r="P135" s="85">
        <v>4050</v>
      </c>
      <c r="Q135" s="51"/>
      <c r="R135" s="86">
        <f>1122440+1923400</f>
        <v>3045840</v>
      </c>
      <c r="S135" s="86">
        <f t="shared" si="20"/>
        <v>3388000</v>
      </c>
    </row>
    <row r="136" spans="1:19" x14ac:dyDescent="0.25">
      <c r="A136" s="49" t="s">
        <v>100</v>
      </c>
      <c r="B136" s="278" t="s">
        <v>104</v>
      </c>
      <c r="C136" s="279"/>
      <c r="D136" s="280"/>
      <c r="E136" s="58" t="s">
        <v>73</v>
      </c>
      <c r="F136" s="51"/>
      <c r="G136" s="51"/>
      <c r="I136" s="51"/>
      <c r="J136" s="86">
        <v>21381546</v>
      </c>
      <c r="K136" s="51"/>
      <c r="L136" s="86"/>
      <c r="M136" s="51"/>
      <c r="N136" s="51">
        <f>19864517+2569577</f>
        <v>22434094</v>
      </c>
      <c r="P136" s="86"/>
      <c r="Q136" s="51"/>
      <c r="R136" s="86">
        <v>38439830</v>
      </c>
      <c r="S136" s="86">
        <f t="shared" si="20"/>
        <v>82255470</v>
      </c>
    </row>
    <row r="137" spans="1:19" x14ac:dyDescent="0.25">
      <c r="A137" s="49" t="s">
        <v>101</v>
      </c>
      <c r="B137" s="278" t="s">
        <v>111</v>
      </c>
      <c r="C137" s="279"/>
      <c r="D137" s="280"/>
      <c r="E137" s="58" t="s">
        <v>73</v>
      </c>
      <c r="F137" s="85">
        <v>660</v>
      </c>
      <c r="G137" s="51"/>
      <c r="H137" s="86"/>
      <c r="I137" s="51"/>
      <c r="J137" s="86">
        <v>64886</v>
      </c>
      <c r="K137" s="51"/>
      <c r="L137" s="85">
        <v>215</v>
      </c>
      <c r="M137" s="51"/>
      <c r="N137" s="51">
        <v>128234</v>
      </c>
      <c r="P137" s="85">
        <v>400</v>
      </c>
      <c r="Q137" s="51"/>
      <c r="R137" s="86">
        <v>169331</v>
      </c>
      <c r="S137" s="86">
        <f t="shared" si="20"/>
        <v>362451</v>
      </c>
    </row>
    <row r="138" spans="1:19" x14ac:dyDescent="0.25">
      <c r="A138" s="94"/>
      <c r="B138" s="332" t="s">
        <v>112</v>
      </c>
      <c r="C138" s="333"/>
      <c r="D138" s="334"/>
      <c r="E138" s="65"/>
      <c r="F138" s="95"/>
      <c r="G138" s="65"/>
      <c r="H138" s="95"/>
      <c r="I138" s="65"/>
      <c r="J138" s="95">
        <f>SUM(J125:J137)</f>
        <v>25513270</v>
      </c>
      <c r="K138" s="65"/>
      <c r="L138" s="95"/>
      <c r="M138" s="65"/>
      <c r="N138" s="95">
        <f>SUM(N125:N137)</f>
        <v>25118877</v>
      </c>
      <c r="O138" s="65"/>
      <c r="P138" s="95"/>
      <c r="Q138" s="65"/>
      <c r="R138" s="95">
        <f>SUM(R125:R137)</f>
        <v>53875953</v>
      </c>
      <c r="S138" s="95">
        <f>SUM(S125:S137)</f>
        <v>104508100</v>
      </c>
    </row>
    <row r="139" spans="1:19" x14ac:dyDescent="0.25">
      <c r="A139" s="54"/>
      <c r="B139" s="54" t="s">
        <v>115</v>
      </c>
      <c r="C139" s="54"/>
      <c r="D139" s="54"/>
      <c r="E139" s="54"/>
      <c r="F139" s="54"/>
      <c r="G139" s="54">
        <v>51128</v>
      </c>
      <c r="H139" s="54"/>
      <c r="I139" s="54"/>
      <c r="J139" s="88">
        <f>J138/G125</f>
        <v>134280.36842105264</v>
      </c>
      <c r="K139" s="54">
        <v>310906</v>
      </c>
      <c r="L139" s="54"/>
      <c r="M139" s="54"/>
      <c r="N139" s="88">
        <f>N138/K125</f>
        <v>47304.853107344636</v>
      </c>
      <c r="O139" s="88">
        <v>242736</v>
      </c>
      <c r="P139" s="54"/>
      <c r="Q139" s="54"/>
      <c r="R139" s="88">
        <f>R138/O125</f>
        <v>94353.683012259193</v>
      </c>
      <c r="S139" s="88"/>
    </row>
    <row r="140" spans="1:19" x14ac:dyDescent="0.25">
      <c r="A140" s="54"/>
      <c r="B140" s="54" t="s">
        <v>117</v>
      </c>
      <c r="C140" s="54"/>
      <c r="D140" s="54"/>
      <c r="E140" s="54"/>
      <c r="F140" s="54"/>
      <c r="G140" s="54"/>
      <c r="H140" s="54"/>
      <c r="I140" s="54"/>
      <c r="J140" s="88">
        <f>J138/G139</f>
        <v>499.0077843842904</v>
      </c>
      <c r="K140" s="54"/>
      <c r="L140" s="54"/>
      <c r="M140" s="54"/>
      <c r="N140" s="88">
        <f>N138/K139</f>
        <v>80.792512849542945</v>
      </c>
      <c r="O140" s="54"/>
      <c r="P140" s="54"/>
      <c r="Q140" s="54"/>
      <c r="R140" s="88">
        <f>R138/O139</f>
        <v>221.95287472809966</v>
      </c>
      <c r="S140" s="88"/>
    </row>
    <row r="141" spans="1:19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88"/>
      <c r="K141" s="54"/>
      <c r="L141" s="54"/>
      <c r="M141" s="54"/>
      <c r="N141" s="88"/>
      <c r="O141" s="54"/>
      <c r="P141" s="54"/>
      <c r="Q141" s="54"/>
      <c r="R141" s="88"/>
      <c r="S141" s="88"/>
    </row>
    <row r="142" spans="1:19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88"/>
      <c r="K142" s="54"/>
      <c r="L142" s="54"/>
      <c r="M142" s="54"/>
      <c r="N142" s="88"/>
      <c r="O142" s="54"/>
      <c r="P142" s="54"/>
      <c r="Q142" s="54"/>
      <c r="R142" s="88"/>
      <c r="S142" s="88"/>
    </row>
    <row r="143" spans="1:19" ht="30" x14ac:dyDescent="0.25">
      <c r="A143" s="379" t="s">
        <v>226</v>
      </c>
      <c r="B143" s="380"/>
      <c r="C143" s="380"/>
      <c r="D143" s="380"/>
      <c r="E143" s="380"/>
      <c r="F143" s="380"/>
      <c r="G143" s="380"/>
      <c r="H143" s="380"/>
      <c r="I143" s="381"/>
      <c r="J143" s="46" t="s">
        <v>198</v>
      </c>
      <c r="K143" s="46" t="s">
        <v>199</v>
      </c>
      <c r="L143" s="46" t="s">
        <v>200</v>
      </c>
      <c r="M143" s="46" t="s">
        <v>183</v>
      </c>
      <c r="N143" s="88"/>
      <c r="O143" s="54"/>
      <c r="P143" s="54"/>
      <c r="Q143" s="54"/>
      <c r="R143" s="88"/>
      <c r="S143" s="88"/>
    </row>
    <row r="144" spans="1:19" ht="21.75" customHeight="1" x14ac:dyDescent="0.25">
      <c r="A144" s="376" t="s">
        <v>170</v>
      </c>
      <c r="B144" s="377"/>
      <c r="C144" s="377"/>
      <c r="D144" s="377"/>
      <c r="E144" s="377"/>
      <c r="F144" s="377"/>
      <c r="G144" s="377"/>
      <c r="H144" s="377"/>
      <c r="I144" s="378"/>
      <c r="J144" s="118">
        <f>SUM(J145:J147)</f>
        <v>14916353.434</v>
      </c>
      <c r="K144" s="118">
        <f t="shared" ref="K144:L144" si="21">SUM(K145:K147)</f>
        <v>17700874.774</v>
      </c>
      <c r="L144" s="118">
        <f t="shared" si="21"/>
        <v>29370711.239999998</v>
      </c>
      <c r="M144" s="115">
        <f>SUM(J144:L144)</f>
        <v>61987939.447999999</v>
      </c>
      <c r="N144" s="88"/>
      <c r="O144" s="54"/>
      <c r="P144" s="54"/>
      <c r="Q144" s="54"/>
      <c r="R144" s="88"/>
      <c r="S144" s="88"/>
    </row>
    <row r="145" spans="1:27" ht="17.25" customHeight="1" x14ac:dyDescent="0.25">
      <c r="A145" s="373" t="s">
        <v>178</v>
      </c>
      <c r="B145" s="374"/>
      <c r="C145" s="374"/>
      <c r="D145" s="374"/>
      <c r="E145" s="374"/>
      <c r="F145" s="374"/>
      <c r="G145" s="374"/>
      <c r="H145" s="374"/>
      <c r="I145" s="375"/>
      <c r="J145" s="7">
        <f>J136*62.9%</f>
        <v>13448992.434</v>
      </c>
      <c r="K145" s="7">
        <f>N136*72.1%</f>
        <v>16174981.774</v>
      </c>
      <c r="L145" s="7">
        <f>R136*62.8%</f>
        <v>24140213.239999998</v>
      </c>
      <c r="M145" s="119">
        <f t="shared" ref="M145:M147" si="22">SUM(J145:L145)</f>
        <v>53764187.447999999</v>
      </c>
      <c r="N145" s="88"/>
      <c r="O145" s="54"/>
      <c r="P145" s="54"/>
      <c r="Q145" s="54"/>
      <c r="R145" s="88"/>
    </row>
    <row r="146" spans="1:27" x14ac:dyDescent="0.25">
      <c r="A146" s="274" t="s">
        <v>176</v>
      </c>
      <c r="B146" s="369"/>
      <c r="C146" s="369"/>
      <c r="D146" s="369"/>
      <c r="E146" s="369"/>
      <c r="F146" s="369"/>
      <c r="G146" s="369"/>
      <c r="H146" s="369"/>
      <c r="I146" s="275"/>
      <c r="J146" s="22">
        <f>J132+J133</f>
        <v>720973</v>
      </c>
      <c r="K146" s="35">
        <f>N132+N133</f>
        <v>534700</v>
      </c>
      <c r="L146" s="35">
        <f>R132+R133</f>
        <v>1105305</v>
      </c>
      <c r="M146" s="119">
        <f t="shared" si="22"/>
        <v>2360978</v>
      </c>
      <c r="N146" s="88"/>
      <c r="O146" s="54"/>
      <c r="P146" s="54"/>
      <c r="Q146" s="54"/>
      <c r="R146" s="88"/>
    </row>
    <row r="147" spans="1:27" x14ac:dyDescent="0.25">
      <c r="A147" s="274" t="s">
        <v>175</v>
      </c>
      <c r="B147" s="369"/>
      <c r="C147" s="369"/>
      <c r="D147" s="369"/>
      <c r="E147" s="369"/>
      <c r="F147" s="369"/>
      <c r="G147" s="369"/>
      <c r="H147" s="369"/>
      <c r="I147" s="275"/>
      <c r="J147" s="35">
        <f>J125+J126+J135</f>
        <v>746388</v>
      </c>
      <c r="K147" s="35">
        <f>N125+N126+N135</f>
        <v>991193</v>
      </c>
      <c r="L147" s="35">
        <f>R125+R126+R135</f>
        <v>4125193</v>
      </c>
      <c r="M147" s="119">
        <f t="shared" si="22"/>
        <v>5862774</v>
      </c>
      <c r="N147" s="88"/>
      <c r="O147" s="54"/>
    </row>
    <row r="148" spans="1:27" x14ac:dyDescent="0.25">
      <c r="A148" s="370" t="s">
        <v>177</v>
      </c>
      <c r="B148" s="371"/>
      <c r="C148" s="371"/>
      <c r="D148" s="371"/>
      <c r="E148" s="371"/>
      <c r="F148" s="371"/>
      <c r="G148" s="371"/>
      <c r="H148" s="371"/>
      <c r="I148" s="372"/>
      <c r="J148" s="114">
        <f>J149+J150+J154+J156+J157</f>
        <v>10596916.566</v>
      </c>
      <c r="K148" s="114">
        <f t="shared" ref="K148:L148" si="23">K149+K150+K154+K156+K157</f>
        <v>7418002.2259999998</v>
      </c>
      <c r="L148" s="114">
        <f t="shared" si="23"/>
        <v>24505241.760000005</v>
      </c>
      <c r="M148" s="114">
        <f>SUM(J148:L148)</f>
        <v>42520160.552000001</v>
      </c>
      <c r="N148" s="88"/>
      <c r="O148" s="54"/>
      <c r="P148" s="67"/>
      <c r="Q148" s="67"/>
      <c r="R148" s="67"/>
      <c r="Y148" s="67"/>
      <c r="Z148" s="67"/>
      <c r="AA148" s="67"/>
    </row>
    <row r="149" spans="1:27" ht="33.75" customHeight="1" x14ac:dyDescent="0.25">
      <c r="A149" s="373" t="s">
        <v>179</v>
      </c>
      <c r="B149" s="374"/>
      <c r="C149" s="374"/>
      <c r="D149" s="374"/>
      <c r="E149" s="374"/>
      <c r="F149" s="374"/>
      <c r="G149" s="374"/>
      <c r="H149" s="374"/>
      <c r="I149" s="375"/>
      <c r="J149" s="113">
        <f>J136-J145</f>
        <v>7932553.5659999996</v>
      </c>
      <c r="K149" s="113">
        <f>N136-K145</f>
        <v>6259112.2259999998</v>
      </c>
      <c r="L149" s="113">
        <f>R136-L145</f>
        <v>14299616.760000002</v>
      </c>
      <c r="M149" s="113">
        <f t="shared" ref="M149:M150" si="24">SUM(J149:L149)</f>
        <v>28491282.552000001</v>
      </c>
      <c r="N149" s="88"/>
      <c r="O149" s="54"/>
      <c r="P149" s="140"/>
      <c r="Q149" s="140"/>
      <c r="R149" s="140"/>
      <c r="S149" s="140"/>
      <c r="T149" s="140"/>
      <c r="U149" s="140"/>
      <c r="V149" s="140"/>
      <c r="W149" s="396"/>
      <c r="X149" s="396"/>
      <c r="Y149" s="396"/>
      <c r="Z149" s="396"/>
      <c r="AA149" s="67"/>
    </row>
    <row r="150" spans="1:27" x14ac:dyDescent="0.25">
      <c r="A150" s="274" t="s">
        <v>171</v>
      </c>
      <c r="B150" s="369"/>
      <c r="C150" s="369"/>
      <c r="D150" s="369"/>
      <c r="E150" s="369"/>
      <c r="F150" s="369"/>
      <c r="G150" s="369"/>
      <c r="H150" s="369"/>
      <c r="I150" s="275"/>
      <c r="J150" s="113">
        <f>SUM(J151:J153)</f>
        <v>503408.7</v>
      </c>
      <c r="K150" s="113">
        <f t="shared" ref="K150:L150" si="25">SUM(K151:K153)</f>
        <v>222399.2</v>
      </c>
      <c r="L150" s="113">
        <f t="shared" si="25"/>
        <v>4191354.1</v>
      </c>
      <c r="M150" s="113">
        <f t="shared" si="24"/>
        <v>4917162</v>
      </c>
      <c r="N150" s="88"/>
      <c r="O150" s="54"/>
      <c r="P150" s="140"/>
      <c r="Q150" s="140"/>
      <c r="R150" s="140"/>
      <c r="S150" s="140"/>
      <c r="T150" s="140"/>
      <c r="U150" s="140"/>
      <c r="V150" s="140"/>
      <c r="W150" s="140"/>
      <c r="X150" s="140"/>
      <c r="Y150" s="140"/>
      <c r="Z150" s="140"/>
      <c r="AA150" s="67"/>
    </row>
    <row r="151" spans="1:27" x14ac:dyDescent="0.25">
      <c r="A151" s="274" t="s">
        <v>172</v>
      </c>
      <c r="B151" s="369"/>
      <c r="C151" s="369"/>
      <c r="D151" s="369"/>
      <c r="E151" s="369"/>
      <c r="F151" s="369"/>
      <c r="G151" s="369"/>
      <c r="H151" s="369"/>
      <c r="I151" s="275"/>
      <c r="J151" s="35">
        <f>19368*90%</f>
        <v>17431.2</v>
      </c>
      <c r="K151" s="35">
        <f>74048*90%</f>
        <v>66643.199999999997</v>
      </c>
      <c r="L151" s="35">
        <f>1230164*90%</f>
        <v>1107147.6000000001</v>
      </c>
      <c r="M151" s="35">
        <f>SUM(J151:L151)</f>
        <v>1191222</v>
      </c>
      <c r="N151" s="88"/>
      <c r="O151" s="54"/>
      <c r="P151" s="141"/>
      <c r="Q151" s="100"/>
      <c r="R151" s="141"/>
      <c r="S151" s="67"/>
      <c r="T151" s="67"/>
      <c r="U151" s="67"/>
      <c r="V151" s="67"/>
      <c r="W151" s="67"/>
      <c r="X151" s="67"/>
      <c r="Y151" s="67"/>
      <c r="Z151" s="67"/>
      <c r="AA151" s="67"/>
    </row>
    <row r="152" spans="1:27" x14ac:dyDescent="0.25">
      <c r="A152" s="274" t="s">
        <v>173</v>
      </c>
      <c r="B152" s="369"/>
      <c r="C152" s="369"/>
      <c r="D152" s="369"/>
      <c r="E152" s="369"/>
      <c r="F152" s="369"/>
      <c r="G152" s="369"/>
      <c r="H152" s="369"/>
      <c r="I152" s="275"/>
      <c r="J152" s="35">
        <f>835135*50%</f>
        <v>417567.5</v>
      </c>
      <c r="K152" s="35">
        <f>249766*50%</f>
        <v>124883</v>
      </c>
      <c r="L152" s="35">
        <f>3000287*50%</f>
        <v>1500143.5</v>
      </c>
      <c r="M152" s="35">
        <f>SUM(J152:L152)</f>
        <v>2042594</v>
      </c>
      <c r="N152" s="88"/>
      <c r="O152" s="54"/>
      <c r="P152" s="141"/>
      <c r="Q152" s="100"/>
      <c r="R152" s="141"/>
      <c r="S152" s="67"/>
      <c r="T152" s="67"/>
      <c r="U152" s="67"/>
      <c r="V152" s="67"/>
      <c r="W152" s="67"/>
      <c r="X152" s="67"/>
      <c r="Y152" s="67"/>
      <c r="Z152" s="67"/>
      <c r="AA152" s="67"/>
    </row>
    <row r="153" spans="1:27" x14ac:dyDescent="0.25">
      <c r="A153" s="274" t="s">
        <v>174</v>
      </c>
      <c r="B153" s="369"/>
      <c r="C153" s="369"/>
      <c r="D153" s="369"/>
      <c r="E153" s="369"/>
      <c r="F153" s="369"/>
      <c r="G153" s="369"/>
      <c r="H153" s="369"/>
      <c r="I153" s="275"/>
      <c r="J153" s="35">
        <f>27860+40550</f>
        <v>68410</v>
      </c>
      <c r="K153" s="35">
        <f>12573+18300</f>
        <v>30873</v>
      </c>
      <c r="L153" s="35">
        <f>615217+968846</f>
        <v>1584063</v>
      </c>
      <c r="M153" s="35">
        <f>SUM(J153:L153)</f>
        <v>1683346</v>
      </c>
      <c r="N153" s="88"/>
      <c r="O153" s="54"/>
      <c r="P153" s="141"/>
      <c r="Q153" s="100"/>
      <c r="S153" s="67"/>
      <c r="T153" s="67"/>
      <c r="U153" s="67"/>
      <c r="V153" s="67"/>
      <c r="W153" s="67"/>
      <c r="X153" s="67"/>
      <c r="Y153" s="67"/>
      <c r="Z153" s="67"/>
      <c r="AA153" s="67"/>
    </row>
    <row r="154" spans="1:27" x14ac:dyDescent="0.25">
      <c r="A154" s="274" t="s">
        <v>180</v>
      </c>
      <c r="B154" s="369"/>
      <c r="C154" s="369"/>
      <c r="D154" s="369"/>
      <c r="E154" s="369"/>
      <c r="F154" s="369"/>
      <c r="G154" s="369"/>
      <c r="H154" s="369"/>
      <c r="I154" s="275"/>
      <c r="J154" s="35">
        <f>J137</f>
        <v>64886</v>
      </c>
      <c r="K154" s="35">
        <f>N137</f>
        <v>128234</v>
      </c>
      <c r="L154" s="35">
        <f>R137</f>
        <v>169331</v>
      </c>
      <c r="M154" s="35">
        <f>SUM(J154:L154)</f>
        <v>362451</v>
      </c>
      <c r="N154" s="88"/>
      <c r="O154" s="54"/>
      <c r="P154" s="141"/>
      <c r="Q154" s="100"/>
      <c r="R154" s="141"/>
      <c r="S154" s="67"/>
      <c r="T154" s="67"/>
      <c r="U154" s="67"/>
      <c r="V154" s="67"/>
      <c r="W154" s="67"/>
      <c r="X154" s="67"/>
      <c r="Y154" s="67"/>
      <c r="Z154" s="67"/>
      <c r="AA154" s="67"/>
    </row>
    <row r="155" spans="1:27" x14ac:dyDescent="0.25">
      <c r="A155" s="274" t="s">
        <v>181</v>
      </c>
      <c r="B155" s="369"/>
      <c r="C155" s="369"/>
      <c r="D155" s="369"/>
      <c r="E155" s="369"/>
      <c r="F155" s="369"/>
      <c r="G155" s="369"/>
      <c r="H155" s="369"/>
      <c r="I155" s="275"/>
      <c r="J155" s="35"/>
      <c r="K155" s="35"/>
      <c r="L155" s="35"/>
      <c r="M155" s="7"/>
      <c r="N155" s="88"/>
      <c r="O155" s="54"/>
      <c r="P155" s="141"/>
      <c r="Q155" s="100"/>
      <c r="R155" s="395"/>
      <c r="S155" s="67"/>
      <c r="T155" s="67"/>
      <c r="U155" s="67"/>
      <c r="V155" s="67"/>
      <c r="W155" s="67"/>
      <c r="X155" s="67"/>
      <c r="Y155" s="67"/>
      <c r="Z155" s="67"/>
      <c r="AA155" s="67"/>
    </row>
    <row r="156" spans="1:27" x14ac:dyDescent="0.25">
      <c r="A156" s="364" t="s">
        <v>182</v>
      </c>
      <c r="B156" s="268"/>
      <c r="C156" s="268"/>
      <c r="D156" s="268"/>
      <c r="E156" s="268"/>
      <c r="F156" s="268"/>
      <c r="G156" s="268"/>
      <c r="H156" s="268"/>
      <c r="I156" s="365"/>
      <c r="J156" s="35">
        <f>J128+J129+J131+J134-J150-J157</f>
        <v>1903327.3</v>
      </c>
      <c r="K156" s="35">
        <f>N128-K150+N129+N131+N134-K157</f>
        <v>597993.80000000005</v>
      </c>
      <c r="L156" s="35">
        <f>R128+-L150+R131+R129+R134-L157</f>
        <v>5460185.9000000004</v>
      </c>
      <c r="M156" s="35">
        <f>SUM(J156:L156)</f>
        <v>7961507</v>
      </c>
      <c r="N156" s="88"/>
      <c r="O156" s="54"/>
      <c r="P156" s="141"/>
      <c r="Q156" s="100"/>
      <c r="R156" s="395"/>
      <c r="S156" s="67"/>
      <c r="T156" s="67"/>
      <c r="U156" s="67"/>
      <c r="W156" s="67"/>
      <c r="X156" s="67"/>
      <c r="Y156" s="67"/>
      <c r="Z156" s="67"/>
      <c r="AA156" s="67"/>
    </row>
    <row r="157" spans="1:27" x14ac:dyDescent="0.25">
      <c r="A157" s="274" t="s">
        <v>175</v>
      </c>
      <c r="B157" s="369"/>
      <c r="C157" s="369"/>
      <c r="D157" s="369"/>
      <c r="E157" s="369"/>
      <c r="F157" s="369"/>
      <c r="G157" s="369"/>
      <c r="H157" s="369"/>
      <c r="I157" s="275"/>
      <c r="J157" s="35">
        <v>192741</v>
      </c>
      <c r="K157" s="35">
        <v>210263</v>
      </c>
      <c r="L157" s="35">
        <v>384754</v>
      </c>
      <c r="M157" s="35">
        <f>SUM(J157:L157)</f>
        <v>787758</v>
      </c>
      <c r="N157" s="88"/>
      <c r="O157" s="54"/>
      <c r="P157" s="141"/>
      <c r="Q157" s="100"/>
      <c r="R157" s="141"/>
      <c r="S157" s="67"/>
      <c r="T157" s="67"/>
      <c r="U157" s="67"/>
      <c r="V157" s="67"/>
      <c r="W157" s="67"/>
      <c r="X157" s="67"/>
      <c r="Y157" s="67"/>
      <c r="Z157" s="67"/>
      <c r="AA157" s="67"/>
    </row>
    <row r="158" spans="1:27" x14ac:dyDescent="0.25">
      <c r="A158" s="274" t="s">
        <v>183</v>
      </c>
      <c r="B158" s="369"/>
      <c r="C158" s="369"/>
      <c r="D158" s="369"/>
      <c r="E158" s="369"/>
      <c r="F158" s="369"/>
      <c r="G158" s="369"/>
      <c r="H158" s="369"/>
      <c r="I158" s="275"/>
      <c r="J158" s="35">
        <f>J144+J148</f>
        <v>25513270</v>
      </c>
      <c r="K158" s="35">
        <f>K144+K148</f>
        <v>25118877</v>
      </c>
      <c r="L158" s="35">
        <f>L144+L148</f>
        <v>53875953</v>
      </c>
      <c r="M158" s="35">
        <f>SUM(J158:L158)</f>
        <v>104508100</v>
      </c>
      <c r="N158" s="88"/>
      <c r="O158" s="54"/>
      <c r="P158" s="141"/>
      <c r="Q158" s="100"/>
      <c r="R158" s="141"/>
      <c r="S158" s="67"/>
      <c r="T158" s="67"/>
      <c r="U158" s="67"/>
      <c r="V158" s="67"/>
      <c r="W158" s="67"/>
      <c r="X158" s="67"/>
      <c r="Y158" s="67"/>
      <c r="Z158" s="67"/>
      <c r="AA158" s="67"/>
    </row>
    <row r="159" spans="1:27" x14ac:dyDescent="0.25">
      <c r="A159" s="274" t="s">
        <v>201</v>
      </c>
      <c r="B159" s="369"/>
      <c r="C159" s="369"/>
      <c r="D159" s="369"/>
      <c r="E159" s="369"/>
      <c r="F159" s="369"/>
      <c r="G159" s="369"/>
      <c r="H159" s="369"/>
      <c r="I159" s="275"/>
      <c r="J159" s="35">
        <f>J158/G139</f>
        <v>499.0077843842904</v>
      </c>
      <c r="K159" s="35">
        <f>K158/K139</f>
        <v>80.792512849542945</v>
      </c>
      <c r="L159" s="35">
        <f>L158/O139</f>
        <v>221.95287472809966</v>
      </c>
      <c r="M159" s="7"/>
      <c r="N159" s="88"/>
      <c r="O159" s="54"/>
      <c r="P159" s="141"/>
      <c r="Q159" s="100"/>
      <c r="R159" s="141"/>
      <c r="S159" s="67"/>
      <c r="T159" s="67"/>
      <c r="U159" s="67"/>
      <c r="V159" s="67"/>
      <c r="W159" s="67"/>
      <c r="X159" s="67"/>
      <c r="Y159" s="67"/>
      <c r="Z159" s="67"/>
      <c r="AA159" s="67"/>
    </row>
    <row r="160" spans="1:27" x14ac:dyDescent="0.25">
      <c r="A160" s="274" t="s">
        <v>202</v>
      </c>
      <c r="B160" s="369"/>
      <c r="C160" s="369"/>
      <c r="D160" s="369"/>
      <c r="E160" s="369"/>
      <c r="F160" s="369"/>
      <c r="G160" s="369"/>
      <c r="H160" s="369"/>
      <c r="I160" s="275"/>
      <c r="J160" s="35">
        <f>J158/G125</f>
        <v>134280.36842105264</v>
      </c>
      <c r="K160" s="35">
        <f>K158/K125</f>
        <v>47304.853107344636</v>
      </c>
      <c r="L160" s="35">
        <f>R138/O125</f>
        <v>94353.683012259193</v>
      </c>
      <c r="M160" s="35"/>
      <c r="N160" s="88"/>
      <c r="O160" s="54"/>
      <c r="P160" s="141"/>
      <c r="Q160" s="100"/>
      <c r="R160" s="141"/>
      <c r="S160" s="67"/>
      <c r="T160" s="67"/>
      <c r="U160" s="67"/>
      <c r="V160" s="67"/>
      <c r="W160" s="67"/>
      <c r="X160" s="67"/>
      <c r="Y160" s="67"/>
      <c r="Z160" s="67"/>
      <c r="AA160" s="67"/>
    </row>
    <row r="161" spans="1:27" x14ac:dyDescent="0.25">
      <c r="A161" s="10"/>
      <c r="B161" s="10"/>
      <c r="C161" s="10"/>
      <c r="D161" s="10"/>
      <c r="E161" s="10"/>
      <c r="F161" s="10"/>
      <c r="G161" s="10"/>
      <c r="H161" s="10"/>
      <c r="I161" s="10"/>
      <c r="J161" s="107"/>
      <c r="K161" s="107"/>
      <c r="L161" s="107"/>
      <c r="M161" s="107"/>
      <c r="N161" s="88"/>
      <c r="O161" s="54"/>
      <c r="P161" s="141"/>
      <c r="Q161" s="100"/>
      <c r="R161" s="141"/>
      <c r="S161" s="67"/>
      <c r="T161" s="67"/>
      <c r="U161" s="67"/>
      <c r="V161" s="67"/>
      <c r="W161" s="67"/>
      <c r="X161" s="67"/>
      <c r="Y161" s="67"/>
      <c r="Z161" s="67"/>
      <c r="AA161" s="67"/>
    </row>
    <row r="162" spans="1:27" x14ac:dyDescent="0.25">
      <c r="A162" s="10"/>
      <c r="B162" s="10"/>
      <c r="C162" s="10"/>
      <c r="D162" s="10"/>
      <c r="E162" s="10"/>
      <c r="F162" s="10"/>
      <c r="G162" s="10"/>
      <c r="H162" s="10"/>
      <c r="I162" s="10"/>
      <c r="J162" s="107"/>
      <c r="K162" s="107"/>
      <c r="L162" s="107"/>
      <c r="M162" s="107"/>
      <c r="N162" s="88"/>
      <c r="O162" s="54"/>
      <c r="P162" s="141"/>
      <c r="Q162" s="100"/>
      <c r="R162" s="1"/>
      <c r="S162" s="1"/>
      <c r="T162" s="1"/>
      <c r="U162" s="1"/>
      <c r="X162" s="67"/>
      <c r="Y162" s="67"/>
      <c r="Z162" s="67"/>
      <c r="AA162" s="67"/>
    </row>
    <row r="163" spans="1:27" x14ac:dyDescent="0.25">
      <c r="A163" s="10"/>
      <c r="B163" s="10"/>
      <c r="C163" s="10"/>
      <c r="D163" s="10"/>
      <c r="E163" s="10"/>
      <c r="F163" s="10"/>
      <c r="G163" s="10"/>
      <c r="H163" s="10"/>
      <c r="I163" s="10"/>
      <c r="J163" s="107"/>
      <c r="K163" s="107"/>
      <c r="L163" s="107"/>
      <c r="M163" s="107"/>
      <c r="N163" s="88"/>
      <c r="O163" s="54"/>
      <c r="P163" s="141"/>
      <c r="Q163" s="100"/>
      <c r="R163" s="1"/>
      <c r="S163" s="1"/>
      <c r="T163" s="1"/>
      <c r="U163" s="1"/>
      <c r="X163" s="67"/>
      <c r="Y163" s="67"/>
      <c r="Z163" s="67"/>
      <c r="AA163" s="67"/>
    </row>
    <row r="164" spans="1:27" x14ac:dyDescent="0.25">
      <c r="A164" s="10"/>
      <c r="B164" s="10"/>
      <c r="C164" s="10"/>
      <c r="D164" s="10"/>
      <c r="E164" s="10"/>
      <c r="F164" s="10"/>
      <c r="G164" s="10"/>
      <c r="H164" s="10"/>
      <c r="I164" s="10"/>
      <c r="J164" s="107"/>
      <c r="K164" s="107"/>
      <c r="L164" s="107"/>
      <c r="M164" s="107"/>
      <c r="N164" s="88"/>
      <c r="O164" s="142"/>
      <c r="P164" s="141"/>
      <c r="Q164" s="100"/>
      <c r="R164" s="1"/>
      <c r="S164" s="1" t="s">
        <v>237</v>
      </c>
      <c r="T164" s="1"/>
      <c r="U164" s="1"/>
      <c r="V164" s="1"/>
      <c r="Y164" s="100"/>
      <c r="Z164" s="100"/>
      <c r="AA164" s="67"/>
    </row>
    <row r="165" spans="1:27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88"/>
      <c r="K165" s="54"/>
      <c r="L165" s="54"/>
      <c r="M165" s="54"/>
      <c r="N165" s="88"/>
      <c r="O165" s="142"/>
      <c r="P165" s="141"/>
      <c r="Q165" s="100"/>
      <c r="R165" s="1"/>
      <c r="S165" s="1" t="s">
        <v>239</v>
      </c>
      <c r="T165" s="1"/>
      <c r="U165" s="1"/>
      <c r="V165" s="1"/>
      <c r="Y165" s="100"/>
      <c r="Z165" s="100"/>
      <c r="AA165" s="67"/>
    </row>
    <row r="166" spans="1:27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88"/>
      <c r="K166" s="54"/>
      <c r="L166" s="54"/>
      <c r="M166" s="54"/>
      <c r="N166" s="88"/>
      <c r="O166" s="54"/>
      <c r="P166" s="97"/>
      <c r="Q166" s="67"/>
      <c r="R166" s="97"/>
      <c r="S166" s="1" t="s">
        <v>233</v>
      </c>
      <c r="T166" s="1"/>
      <c r="U166" s="1"/>
      <c r="V166" s="1"/>
      <c r="AA166" s="67"/>
    </row>
    <row r="167" spans="1:27" x14ac:dyDescent="0.25">
      <c r="P167" s="97"/>
      <c r="Q167" s="67"/>
      <c r="R167" s="97"/>
      <c r="S167" s="1" t="s">
        <v>254</v>
      </c>
      <c r="T167" s="1"/>
      <c r="U167" s="1"/>
      <c r="V167" s="1"/>
      <c r="Y167" s="67"/>
      <c r="Z167" s="67"/>
      <c r="AA167" s="67"/>
    </row>
    <row r="168" spans="1:27" x14ac:dyDescent="0.25">
      <c r="A168" s="67"/>
      <c r="B168" s="67"/>
      <c r="C168" s="67"/>
      <c r="D168" s="67"/>
      <c r="E168" s="67"/>
      <c r="F168" s="67"/>
      <c r="G168" s="67"/>
      <c r="H168" s="67"/>
      <c r="I168" s="67"/>
      <c r="J168" s="67"/>
      <c r="K168" s="67"/>
      <c r="L168" s="67"/>
      <c r="M168" s="67"/>
      <c r="N168" s="67"/>
      <c r="O168" s="67"/>
      <c r="P168" s="67"/>
      <c r="Q168" s="67"/>
      <c r="R168" s="67"/>
      <c r="S168" s="67"/>
      <c r="T168" s="67"/>
      <c r="U168" s="67"/>
      <c r="V168" s="67"/>
      <c r="W168" s="67"/>
      <c r="X168" s="67"/>
      <c r="Y168" s="97"/>
      <c r="Z168" s="97">
        <f>Z164/9836</f>
        <v>0</v>
      </c>
      <c r="AA168" s="97"/>
    </row>
    <row r="169" spans="1:27" ht="38.25" customHeight="1" x14ac:dyDescent="0.25">
      <c r="A169" s="324" t="s">
        <v>4</v>
      </c>
      <c r="B169" s="326" t="s">
        <v>71</v>
      </c>
      <c r="C169" s="327"/>
      <c r="D169" s="328"/>
      <c r="E169" s="290" t="s">
        <v>2</v>
      </c>
      <c r="F169" s="276" t="s">
        <v>123</v>
      </c>
      <c r="G169" s="281" t="s">
        <v>120</v>
      </c>
      <c r="H169" s="281"/>
      <c r="I169" s="281"/>
      <c r="J169" s="281"/>
      <c r="K169" s="281" t="s">
        <v>118</v>
      </c>
      <c r="L169" s="281"/>
      <c r="M169" s="281"/>
      <c r="N169" s="281"/>
      <c r="O169" s="284" t="s">
        <v>119</v>
      </c>
      <c r="P169" s="285"/>
      <c r="Q169" s="285"/>
      <c r="R169" s="286"/>
      <c r="S169" s="284" t="s">
        <v>129</v>
      </c>
      <c r="T169" s="285"/>
      <c r="U169" s="285"/>
      <c r="V169" s="286"/>
      <c r="W169" s="281" t="s">
        <v>130</v>
      </c>
      <c r="X169" s="281"/>
      <c r="Y169" s="281"/>
      <c r="Z169" s="281"/>
      <c r="AA169" s="67"/>
    </row>
    <row r="170" spans="1:27" ht="89.25" x14ac:dyDescent="0.25">
      <c r="A170" s="325"/>
      <c r="B170" s="329"/>
      <c r="C170" s="330"/>
      <c r="D170" s="331"/>
      <c r="E170" s="291"/>
      <c r="F170" s="277"/>
      <c r="G170" s="47" t="s">
        <v>122</v>
      </c>
      <c r="H170" s="47" t="s">
        <v>13</v>
      </c>
      <c r="I170" s="47" t="s">
        <v>14</v>
      </c>
      <c r="J170" s="47" t="s">
        <v>25</v>
      </c>
      <c r="K170" s="47" t="s">
        <v>122</v>
      </c>
      <c r="L170" s="47" t="s">
        <v>116</v>
      </c>
      <c r="M170" s="47" t="s">
        <v>14</v>
      </c>
      <c r="N170" s="47" t="s">
        <v>25</v>
      </c>
      <c r="O170" s="47" t="s">
        <v>12</v>
      </c>
      <c r="P170" s="47" t="s">
        <v>116</v>
      </c>
      <c r="Q170" s="47" t="s">
        <v>3</v>
      </c>
      <c r="R170" s="47" t="s">
        <v>25</v>
      </c>
      <c r="S170" s="47" t="s">
        <v>121</v>
      </c>
      <c r="T170" s="47" t="s">
        <v>116</v>
      </c>
      <c r="U170" s="47" t="s">
        <v>14</v>
      </c>
      <c r="V170" s="47" t="s">
        <v>25</v>
      </c>
      <c r="W170" s="47" t="s">
        <v>121</v>
      </c>
      <c r="X170" s="47" t="s">
        <v>116</v>
      </c>
      <c r="Y170" s="47" t="s">
        <v>3</v>
      </c>
      <c r="Z170" s="47" t="s">
        <v>25</v>
      </c>
      <c r="AA170" s="67"/>
    </row>
    <row r="171" spans="1:27" x14ac:dyDescent="0.25">
      <c r="A171" s="56" t="s">
        <v>8</v>
      </c>
      <c r="B171" s="278" t="s">
        <v>72</v>
      </c>
      <c r="C171" s="279"/>
      <c r="D171" s="280"/>
      <c r="E171" s="68" t="s">
        <v>73</v>
      </c>
      <c r="F171" s="75">
        <v>35000</v>
      </c>
      <c r="G171" s="69">
        <v>7</v>
      </c>
      <c r="H171" s="71">
        <f>F171*G171</f>
        <v>245000</v>
      </c>
      <c r="I171" s="69">
        <v>14</v>
      </c>
      <c r="J171" s="71">
        <f>297236-70000</f>
        <v>227236</v>
      </c>
      <c r="K171" s="74">
        <v>2</v>
      </c>
      <c r="L171" s="75">
        <f>K171*F171</f>
        <v>70000</v>
      </c>
      <c r="M171" s="69">
        <v>13</v>
      </c>
      <c r="N171" s="71">
        <f>85904-25000</f>
        <v>60904</v>
      </c>
      <c r="O171" s="74">
        <v>1</v>
      </c>
      <c r="P171" s="75">
        <v>35000</v>
      </c>
      <c r="Q171" s="74"/>
      <c r="R171" s="75">
        <f>61604</f>
        <v>61604</v>
      </c>
      <c r="S171" s="69" t="s">
        <v>131</v>
      </c>
      <c r="T171" s="69">
        <f>(17*35000)+(3*20000)</f>
        <v>655000</v>
      </c>
      <c r="U171" s="69"/>
      <c r="V171" s="69">
        <f>945365-300000+50155</f>
        <v>695520</v>
      </c>
      <c r="W171" s="69">
        <v>2</v>
      </c>
      <c r="X171" s="69">
        <f>W171*35000</f>
        <v>70000</v>
      </c>
      <c r="Y171" s="69">
        <v>10</v>
      </c>
      <c r="Z171" s="69">
        <v>59798</v>
      </c>
    </row>
    <row r="172" spans="1:27" x14ac:dyDescent="0.25">
      <c r="A172" s="56" t="s">
        <v>17</v>
      </c>
      <c r="B172" s="278" t="s">
        <v>79</v>
      </c>
      <c r="C172" s="279"/>
      <c r="D172" s="280"/>
      <c r="E172" s="68" t="s">
        <v>73</v>
      </c>
      <c r="F172" s="75">
        <v>1325</v>
      </c>
      <c r="G172" s="69">
        <v>41.25</v>
      </c>
      <c r="H172" s="71">
        <f>F172*G172</f>
        <v>54656.25</v>
      </c>
      <c r="I172" s="69">
        <v>45</v>
      </c>
      <c r="J172" s="71">
        <v>70000</v>
      </c>
      <c r="K172" s="74">
        <v>9.5</v>
      </c>
      <c r="L172" s="75">
        <f>1325*9.5</f>
        <v>12587.5</v>
      </c>
      <c r="M172" s="69"/>
      <c r="N172" s="71">
        <v>25000</v>
      </c>
      <c r="O172" s="74">
        <v>6</v>
      </c>
      <c r="P172" s="75">
        <v>7950</v>
      </c>
      <c r="Q172" s="74"/>
      <c r="R172" s="75"/>
      <c r="S172" s="69" t="s">
        <v>132</v>
      </c>
      <c r="T172" s="69"/>
      <c r="U172" s="69"/>
      <c r="V172" s="69">
        <v>300000</v>
      </c>
      <c r="W172" s="69">
        <v>12</v>
      </c>
      <c r="X172" s="69"/>
      <c r="Y172" s="69"/>
      <c r="Z172" s="69"/>
    </row>
    <row r="173" spans="1:27" x14ac:dyDescent="0.25">
      <c r="A173" s="56" t="s">
        <v>20</v>
      </c>
      <c r="B173" s="350" t="s">
        <v>105</v>
      </c>
      <c r="C173" s="351"/>
      <c r="D173" s="352"/>
      <c r="E173" s="68" t="s">
        <v>73</v>
      </c>
      <c r="F173" s="75"/>
      <c r="G173" s="69"/>
      <c r="H173" s="71"/>
      <c r="I173" s="69"/>
      <c r="J173" s="71"/>
      <c r="K173" s="74"/>
      <c r="L173" s="75"/>
      <c r="M173" s="69"/>
      <c r="N173" s="71"/>
      <c r="O173" s="74"/>
      <c r="P173" s="75"/>
      <c r="Q173" s="74"/>
      <c r="S173" s="69"/>
      <c r="T173" s="69"/>
      <c r="U173" s="69"/>
      <c r="V173" s="69"/>
      <c r="W173" s="69"/>
      <c r="X173" s="69"/>
      <c r="Y173" s="69"/>
      <c r="Z173" s="69"/>
    </row>
    <row r="174" spans="1:27" x14ac:dyDescent="0.25">
      <c r="A174" s="56" t="s">
        <v>27</v>
      </c>
      <c r="B174" s="295" t="s">
        <v>102</v>
      </c>
      <c r="C174" s="295"/>
      <c r="D174" s="295"/>
      <c r="E174" s="68" t="s">
        <v>73</v>
      </c>
      <c r="F174" s="75"/>
      <c r="G174" s="69"/>
      <c r="H174" s="71"/>
      <c r="I174" s="69"/>
      <c r="J174" s="71">
        <v>971330</v>
      </c>
      <c r="K174" s="74"/>
      <c r="L174" s="75"/>
      <c r="M174" s="69"/>
      <c r="N174" s="71">
        <v>348890</v>
      </c>
      <c r="O174" s="74"/>
      <c r="P174" s="75"/>
      <c r="Q174" s="74"/>
      <c r="R174" s="75">
        <v>271430</v>
      </c>
      <c r="S174" s="69"/>
      <c r="T174" s="69"/>
      <c r="U174" s="69"/>
      <c r="V174" s="69">
        <v>1119613</v>
      </c>
      <c r="W174" s="69"/>
      <c r="X174" s="69"/>
      <c r="Y174" s="69"/>
      <c r="Z174" s="69">
        <v>606620</v>
      </c>
    </row>
    <row r="175" spans="1:27" x14ac:dyDescent="0.25">
      <c r="A175" s="56" t="s">
        <v>83</v>
      </c>
      <c r="B175" s="295" t="s">
        <v>106</v>
      </c>
      <c r="C175" s="295"/>
      <c r="D175" s="295"/>
      <c r="E175" s="68" t="s">
        <v>73</v>
      </c>
      <c r="F175" s="75">
        <v>250</v>
      </c>
      <c r="G175" s="96">
        <v>1075.7</v>
      </c>
      <c r="H175" s="97">
        <f>G175*F175</f>
        <v>268925</v>
      </c>
      <c r="I175" s="69"/>
      <c r="J175" s="343">
        <v>494236</v>
      </c>
      <c r="K175" s="74">
        <v>381.6</v>
      </c>
      <c r="L175" s="75">
        <f>K175*F175</f>
        <v>95400</v>
      </c>
      <c r="M175" s="69">
        <v>23</v>
      </c>
      <c r="N175" s="343">
        <f>123134</f>
        <v>123134</v>
      </c>
      <c r="O175" s="74">
        <v>262</v>
      </c>
      <c r="P175" s="75">
        <v>65500</v>
      </c>
      <c r="Q175" s="74"/>
      <c r="R175" s="348">
        <v>51419</v>
      </c>
      <c r="S175" s="69">
        <v>1841.8</v>
      </c>
      <c r="T175" s="69">
        <v>400</v>
      </c>
      <c r="U175" s="69"/>
      <c r="V175" s="69">
        <v>985000</v>
      </c>
      <c r="W175" s="69"/>
      <c r="X175" s="69"/>
      <c r="Y175" s="69"/>
      <c r="Z175" s="69">
        <f>192890-46675</f>
        <v>146215</v>
      </c>
    </row>
    <row r="176" spans="1:27" x14ac:dyDescent="0.25">
      <c r="A176" s="56" t="s">
        <v>85</v>
      </c>
      <c r="B176" s="295" t="s">
        <v>109</v>
      </c>
      <c r="C176" s="295"/>
      <c r="D176" s="295"/>
      <c r="E176" s="68" t="s">
        <v>73</v>
      </c>
      <c r="F176" s="75"/>
      <c r="G176" s="69">
        <v>1075.7</v>
      </c>
      <c r="H176" s="97">
        <f>G176*F176</f>
        <v>0</v>
      </c>
      <c r="I176" s="69"/>
      <c r="J176" s="344"/>
      <c r="K176" s="74">
        <v>381.6</v>
      </c>
      <c r="L176" s="75">
        <f>K176*F176</f>
        <v>0</v>
      </c>
      <c r="M176" s="69"/>
      <c r="N176" s="344"/>
      <c r="O176" s="74">
        <v>262</v>
      </c>
      <c r="P176" s="75">
        <f>O196*F196</f>
        <v>0</v>
      </c>
      <c r="Q176" s="74"/>
      <c r="R176" s="349"/>
      <c r="S176" s="69">
        <v>1841.8</v>
      </c>
      <c r="T176" s="69">
        <v>400</v>
      </c>
      <c r="U176" s="69"/>
      <c r="W176" s="69"/>
      <c r="X176" s="69"/>
      <c r="Y176" s="69"/>
      <c r="Z176" s="69"/>
    </row>
    <row r="177" spans="1:26" x14ac:dyDescent="0.25">
      <c r="A177" s="57" t="s">
        <v>87</v>
      </c>
      <c r="B177" s="321" t="s">
        <v>84</v>
      </c>
      <c r="C177" s="322"/>
      <c r="D177" s="323"/>
      <c r="E177" s="98" t="s">
        <v>73</v>
      </c>
      <c r="F177" s="99">
        <v>270</v>
      </c>
      <c r="G177" s="77">
        <v>1075.7</v>
      </c>
      <c r="H177" s="78">
        <f>G177*F177</f>
        <v>290439</v>
      </c>
      <c r="I177" s="77"/>
      <c r="J177" s="78">
        <v>298159</v>
      </c>
      <c r="K177" s="100">
        <v>150</v>
      </c>
      <c r="L177" s="99">
        <f>K176*K177</f>
        <v>57240</v>
      </c>
      <c r="M177" s="77">
        <v>-40</v>
      </c>
      <c r="N177" s="78">
        <f>32890+12189</f>
        <v>45079</v>
      </c>
      <c r="O177" s="101">
        <v>150</v>
      </c>
      <c r="P177" s="99">
        <v>39300</v>
      </c>
      <c r="Q177" s="101"/>
      <c r="R177" s="99">
        <v>20700</v>
      </c>
      <c r="S177" s="69"/>
      <c r="T177" s="69">
        <v>700</v>
      </c>
      <c r="U177" s="69"/>
      <c r="V177" s="69">
        <f>10000+1070081</f>
        <v>1080081</v>
      </c>
      <c r="W177" s="69">
        <v>654.20000000000005</v>
      </c>
      <c r="X177" s="69">
        <v>250</v>
      </c>
      <c r="Y177" s="69"/>
      <c r="Z177" s="69">
        <v>209746</v>
      </c>
    </row>
    <row r="178" spans="1:26" x14ac:dyDescent="0.25">
      <c r="A178" s="56" t="s">
        <v>89</v>
      </c>
      <c r="B178" s="314" t="s">
        <v>86</v>
      </c>
      <c r="C178" s="315"/>
      <c r="D178" s="316"/>
      <c r="E178" s="98" t="s">
        <v>73</v>
      </c>
      <c r="F178" s="74">
        <v>370</v>
      </c>
      <c r="G178" s="69">
        <v>270</v>
      </c>
      <c r="H178" s="71">
        <f>F178*G178</f>
        <v>99900</v>
      </c>
      <c r="I178" s="69"/>
      <c r="J178" s="75">
        <v>100000</v>
      </c>
      <c r="K178" s="74">
        <v>70</v>
      </c>
      <c r="L178" s="75">
        <f>K178*F178</f>
        <v>25900</v>
      </c>
      <c r="M178" s="74">
        <v>-25</v>
      </c>
      <c r="N178" s="75">
        <v>20000</v>
      </c>
      <c r="O178" s="74">
        <v>24</v>
      </c>
      <c r="P178" s="75">
        <v>8880</v>
      </c>
      <c r="Q178" s="74"/>
      <c r="R178" s="75">
        <v>6000</v>
      </c>
      <c r="S178" s="69">
        <v>8160</v>
      </c>
      <c r="T178" s="69">
        <v>86</v>
      </c>
      <c r="U178" s="69"/>
      <c r="V178" s="69">
        <f>359770+152869</f>
        <v>512639</v>
      </c>
      <c r="W178" s="69"/>
      <c r="X178" s="69"/>
      <c r="Y178" s="69"/>
      <c r="Z178" s="69">
        <v>33597</v>
      </c>
    </row>
    <row r="179" spans="1:26" x14ac:dyDescent="0.25">
      <c r="A179" s="56" t="s">
        <v>91</v>
      </c>
      <c r="B179" s="314" t="s">
        <v>88</v>
      </c>
      <c r="C179" s="315"/>
      <c r="D179" s="316"/>
      <c r="E179" s="98" t="s">
        <v>73</v>
      </c>
      <c r="F179" s="74">
        <v>370</v>
      </c>
      <c r="G179" s="69">
        <v>1075.7</v>
      </c>
      <c r="H179" s="71">
        <f>700*G179</f>
        <v>752990</v>
      </c>
      <c r="I179" s="69"/>
      <c r="J179" s="75">
        <v>100000</v>
      </c>
      <c r="K179" s="74">
        <v>381.6</v>
      </c>
      <c r="L179" s="75"/>
      <c r="M179" s="74"/>
      <c r="N179" s="75">
        <v>20000</v>
      </c>
      <c r="O179" s="74">
        <v>262</v>
      </c>
      <c r="P179" s="75">
        <v>52400</v>
      </c>
      <c r="Q179" s="74"/>
      <c r="R179" s="75">
        <v>72600</v>
      </c>
      <c r="S179" s="69"/>
      <c r="T179" s="69">
        <v>72</v>
      </c>
      <c r="U179" s="69"/>
      <c r="V179" s="69">
        <v>582806</v>
      </c>
      <c r="W179" s="69"/>
      <c r="X179" s="69"/>
      <c r="Y179" s="69"/>
      <c r="Z179" s="69">
        <v>36093</v>
      </c>
    </row>
    <row r="180" spans="1:26" x14ac:dyDescent="0.25">
      <c r="A180" s="56" t="s">
        <v>93</v>
      </c>
      <c r="B180" s="292" t="s">
        <v>90</v>
      </c>
      <c r="C180" s="293"/>
      <c r="D180" s="294"/>
      <c r="E180" s="98" t="s">
        <v>73</v>
      </c>
      <c r="F180" s="74"/>
      <c r="G180" s="69"/>
      <c r="H180" s="67"/>
      <c r="I180" s="69"/>
      <c r="J180" s="120">
        <f>33690+17211</f>
        <v>50901</v>
      </c>
      <c r="K180" s="74"/>
      <c r="L180" s="75"/>
      <c r="M180" s="74"/>
      <c r="N180" s="75">
        <f>432101+12189</f>
        <v>444290</v>
      </c>
      <c r="O180" s="74"/>
      <c r="P180" s="75"/>
      <c r="Q180" s="74"/>
      <c r="R180" s="75">
        <v>58072</v>
      </c>
      <c r="S180" s="69"/>
      <c r="T180" s="69"/>
      <c r="U180" s="69"/>
      <c r="V180" s="69">
        <f>451592+24800</f>
        <v>476392</v>
      </c>
      <c r="W180" s="69"/>
      <c r="X180" s="69"/>
      <c r="Y180" s="69"/>
      <c r="Z180" s="69">
        <f>4079+33500</f>
        <v>37579</v>
      </c>
    </row>
    <row r="181" spans="1:26" x14ac:dyDescent="0.25">
      <c r="A181" s="56">
        <v>11</v>
      </c>
      <c r="B181" s="295" t="s">
        <v>95</v>
      </c>
      <c r="C181" s="295"/>
      <c r="D181" s="295"/>
      <c r="E181" s="98" t="s">
        <v>73</v>
      </c>
      <c r="F181" s="74">
        <v>370</v>
      </c>
      <c r="G181" s="69">
        <v>270</v>
      </c>
      <c r="H181" s="71">
        <f>1150*260</f>
        <v>299000</v>
      </c>
      <c r="I181" s="69"/>
      <c r="J181" s="71">
        <v>100000</v>
      </c>
      <c r="K181" s="74">
        <v>70</v>
      </c>
      <c r="L181" s="75">
        <f>F180:F181*K181</f>
        <v>25900</v>
      </c>
      <c r="M181" s="69">
        <v>-42</v>
      </c>
      <c r="N181" s="71">
        <f>447101-N180</f>
        <v>2811</v>
      </c>
      <c r="O181" s="74">
        <v>24</v>
      </c>
      <c r="P181" s="75">
        <v>8880</v>
      </c>
      <c r="Q181" s="74"/>
      <c r="R181" s="75">
        <f>73072-R180</f>
        <v>15000</v>
      </c>
      <c r="S181" s="69"/>
      <c r="T181" s="69"/>
      <c r="U181" s="69"/>
      <c r="V181" s="69">
        <f>586792-V180</f>
        <v>110400</v>
      </c>
      <c r="W181" s="69"/>
      <c r="X181" s="69"/>
      <c r="Y181" s="69"/>
      <c r="Z181" s="69"/>
    </row>
    <row r="182" spans="1:26" x14ac:dyDescent="0.25">
      <c r="A182" s="56" t="s">
        <v>100</v>
      </c>
      <c r="B182" s="278" t="s">
        <v>104</v>
      </c>
      <c r="C182" s="279"/>
      <c r="D182" s="280"/>
      <c r="E182" s="98" t="s">
        <v>73</v>
      </c>
      <c r="F182" s="74"/>
      <c r="G182" s="69"/>
      <c r="H182" s="71"/>
      <c r="I182" s="69"/>
      <c r="J182" s="71">
        <f>27093200-140100</f>
        <v>26953100</v>
      </c>
      <c r="K182" s="74"/>
      <c r="L182" s="75"/>
      <c r="M182" s="69"/>
      <c r="N182" s="71">
        <v>6089790</v>
      </c>
      <c r="O182" s="74"/>
      <c r="P182" s="75"/>
      <c r="Q182" s="74"/>
      <c r="R182" s="75">
        <f>4226656-69521</f>
        <v>4157135</v>
      </c>
      <c r="S182" s="69"/>
      <c r="T182" s="69"/>
      <c r="U182" s="69"/>
      <c r="V182" s="69">
        <f>30601749+2938300</f>
        <v>33540049</v>
      </c>
      <c r="W182" s="69"/>
      <c r="X182" s="69"/>
      <c r="Y182" s="69"/>
      <c r="Z182" s="69">
        <f>7252959+2191731</f>
        <v>9444690</v>
      </c>
    </row>
    <row r="183" spans="1:26" x14ac:dyDescent="0.25">
      <c r="A183" s="56" t="s">
        <v>101</v>
      </c>
      <c r="B183" s="278" t="s">
        <v>111</v>
      </c>
      <c r="C183" s="279"/>
      <c r="D183" s="280"/>
      <c r="E183" s="98" t="s">
        <v>73</v>
      </c>
      <c r="F183" s="75"/>
      <c r="G183" s="69"/>
      <c r="H183" s="71"/>
      <c r="I183" s="69"/>
      <c r="J183" s="71">
        <v>127180</v>
      </c>
      <c r="K183" s="74"/>
      <c r="L183" s="75"/>
      <c r="M183" s="69"/>
      <c r="N183" s="71">
        <v>95000</v>
      </c>
      <c r="O183" s="74"/>
      <c r="P183" s="75"/>
      <c r="Q183" s="74"/>
      <c r="R183" s="75">
        <v>121000</v>
      </c>
      <c r="S183" s="69"/>
      <c r="T183" s="69"/>
      <c r="U183" s="69"/>
      <c r="V183" s="69">
        <v>665000</v>
      </c>
      <c r="W183" s="69"/>
      <c r="X183" s="69"/>
      <c r="Y183" s="69"/>
      <c r="Z183" s="69">
        <v>111362</v>
      </c>
    </row>
    <row r="184" spans="1:26" x14ac:dyDescent="0.25">
      <c r="A184" s="102"/>
      <c r="B184" s="345" t="s">
        <v>112</v>
      </c>
      <c r="C184" s="346"/>
      <c r="D184" s="347"/>
      <c r="E184" s="80"/>
      <c r="F184" s="81"/>
      <c r="G184" s="80"/>
      <c r="H184" s="81"/>
      <c r="I184" s="80"/>
      <c r="J184" s="81">
        <f>SUM(J171:J183)</f>
        <v>29492142</v>
      </c>
      <c r="K184" s="80"/>
      <c r="L184" s="81"/>
      <c r="M184" s="80"/>
      <c r="N184" s="81">
        <f>SUM(N171:N183)</f>
        <v>7274898</v>
      </c>
      <c r="O184" s="80"/>
      <c r="P184" s="81"/>
      <c r="Q184" s="80"/>
      <c r="R184" s="81">
        <f>SUM(R171:R183)</f>
        <v>4834960</v>
      </c>
      <c r="S184" s="80"/>
      <c r="T184" s="80"/>
      <c r="U184" s="80"/>
      <c r="V184" s="80">
        <f>SUM(V171:V183)</f>
        <v>40067500</v>
      </c>
      <c r="W184" s="80"/>
      <c r="X184" s="80"/>
      <c r="Y184" s="80"/>
      <c r="Z184" s="80">
        <f>SUM(Z171:Z183)</f>
        <v>10685700</v>
      </c>
    </row>
    <row r="185" spans="1:26" x14ac:dyDescent="0.25">
      <c r="A185" s="67"/>
      <c r="B185" s="67"/>
      <c r="C185" s="67" t="s">
        <v>227</v>
      </c>
      <c r="D185" s="67"/>
      <c r="E185" s="67"/>
      <c r="F185" s="67"/>
      <c r="G185" s="67"/>
      <c r="H185" s="67"/>
      <c r="I185" s="67"/>
      <c r="J185" s="97">
        <f>(J178+J181)/260</f>
        <v>769.23076923076928</v>
      </c>
      <c r="K185" s="67">
        <v>70</v>
      </c>
      <c r="L185" s="67"/>
      <c r="M185" s="67"/>
      <c r="N185" s="97">
        <f>(N178+N181)/K185</f>
        <v>325.87142857142857</v>
      </c>
      <c r="O185" s="67">
        <v>24</v>
      </c>
      <c r="P185" s="97"/>
      <c r="Q185" s="67"/>
      <c r="R185" s="97">
        <f>(R178+R181)/O185</f>
        <v>875</v>
      </c>
      <c r="S185" s="67">
        <v>74500</v>
      </c>
      <c r="T185" s="67"/>
      <c r="U185" s="67"/>
      <c r="V185" s="97">
        <f>V184/8160</f>
        <v>4910.2328431372553</v>
      </c>
      <c r="W185" s="67" t="s">
        <v>133</v>
      </c>
      <c r="X185" s="67"/>
      <c r="Y185" s="67"/>
      <c r="Z185" s="67"/>
    </row>
    <row r="186" spans="1:26" x14ac:dyDescent="0.25">
      <c r="A186" s="67"/>
      <c r="B186" s="67"/>
      <c r="C186" s="67" t="s">
        <v>126</v>
      </c>
      <c r="D186" s="67"/>
      <c r="E186" s="67"/>
      <c r="F186" s="67"/>
      <c r="G186" s="67"/>
      <c r="H186" s="67"/>
      <c r="I186" s="67"/>
      <c r="J186" s="97">
        <f>(J175+J177+J179+J174)/1075.7</f>
        <v>1732.5694896346565</v>
      </c>
      <c r="K186" s="67"/>
      <c r="L186" s="67"/>
      <c r="M186" s="67"/>
      <c r="N186" s="97">
        <f>(N175+N177+N179+N174)/K176</f>
        <v>1407.5026205450733</v>
      </c>
      <c r="O186" s="67"/>
      <c r="P186" s="97"/>
      <c r="Q186" s="67"/>
      <c r="R186" s="97">
        <f>(R174+R175+R177+R179)/O185</f>
        <v>17339.541666666668</v>
      </c>
      <c r="S186" s="67" t="s">
        <v>134</v>
      </c>
      <c r="T186" s="67"/>
      <c r="U186" s="67"/>
      <c r="V186" s="18">
        <f>V184/S185</f>
        <v>537.81879194630869</v>
      </c>
      <c r="W186" s="67"/>
    </row>
    <row r="187" spans="1:26" x14ac:dyDescent="0.25">
      <c r="A187" s="67"/>
      <c r="B187" s="67"/>
      <c r="C187" s="67" t="s">
        <v>127</v>
      </c>
      <c r="D187" s="67"/>
      <c r="E187" s="67"/>
      <c r="F187" s="67"/>
      <c r="G187" s="67"/>
      <c r="H187" s="67"/>
      <c r="I187" s="67"/>
      <c r="J187" s="97">
        <f>(J171+J172+J182+J183)/41.25</f>
        <v>663697.35757575755</v>
      </c>
      <c r="K187" s="67"/>
      <c r="L187" s="67"/>
      <c r="M187" s="67"/>
      <c r="N187" s="97">
        <f>(N171+N172+N183+N182)/G172</f>
        <v>152016.82424242425</v>
      </c>
      <c r="O187" s="67"/>
      <c r="P187" s="97"/>
      <c r="Q187" s="67"/>
      <c r="R187" s="97">
        <f>(R171+R172+R180+R182+R183)/O172</f>
        <v>732968.5</v>
      </c>
      <c r="S187" s="67"/>
      <c r="T187" s="67"/>
      <c r="U187" s="67"/>
      <c r="V187" s="67"/>
      <c r="W187" s="67" t="s">
        <v>228</v>
      </c>
      <c r="X187" s="67"/>
      <c r="Y187" s="67"/>
      <c r="Z187" s="67"/>
    </row>
    <row r="188" spans="1:26" x14ac:dyDescent="0.25">
      <c r="A188" s="67"/>
      <c r="B188" s="67"/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</row>
    <row r="189" spans="1:26" x14ac:dyDescent="0.25">
      <c r="A189" s="67"/>
      <c r="B189" s="67"/>
      <c r="C189" s="67" t="s">
        <v>128</v>
      </c>
      <c r="D189" s="67"/>
      <c r="E189" s="67"/>
      <c r="F189" s="67"/>
      <c r="G189" s="67"/>
      <c r="H189" s="67"/>
      <c r="I189" s="67"/>
      <c r="J189" s="97">
        <f>J184/270</f>
        <v>109230.15555555555</v>
      </c>
      <c r="K189" s="97"/>
      <c r="L189" s="97"/>
      <c r="M189" s="97"/>
      <c r="N189" s="97">
        <f>N184/K181</f>
        <v>103927.11428571428</v>
      </c>
      <c r="O189" s="97"/>
      <c r="P189" s="18"/>
    </row>
    <row r="190" spans="1:26" x14ac:dyDescent="0.25">
      <c r="A190" s="67"/>
      <c r="B190" s="67"/>
      <c r="C190" s="67"/>
      <c r="D190" s="67"/>
      <c r="E190" s="67"/>
      <c r="F190" s="67"/>
      <c r="G190" s="67"/>
      <c r="H190" s="67"/>
      <c r="I190" s="67"/>
      <c r="J190" s="97"/>
      <c r="K190" s="97"/>
      <c r="L190" s="97"/>
      <c r="M190" s="97"/>
      <c r="N190" s="97"/>
      <c r="O190" s="97"/>
    </row>
    <row r="191" spans="1:26" x14ac:dyDescent="0.25">
      <c r="J191" s="18"/>
      <c r="K191" s="18"/>
      <c r="L191" s="18"/>
      <c r="M191" s="18"/>
      <c r="N191" s="18"/>
      <c r="O191" s="18"/>
      <c r="P191" s="31"/>
    </row>
    <row r="192" spans="1:26" x14ac:dyDescent="0.25">
      <c r="J192" s="18"/>
      <c r="K192" s="18"/>
      <c r="L192" s="18"/>
      <c r="M192" s="18"/>
      <c r="N192" s="18"/>
      <c r="O192" s="18"/>
    </row>
    <row r="194" spans="1:15" ht="45" x14ac:dyDescent="0.25">
      <c r="A194" s="376" t="s">
        <v>229</v>
      </c>
      <c r="B194" s="377"/>
      <c r="C194" s="377"/>
      <c r="D194" s="377"/>
      <c r="E194" s="377"/>
      <c r="F194" s="377"/>
      <c r="G194" s="377"/>
      <c r="H194" s="377"/>
      <c r="I194" s="378"/>
      <c r="J194" s="4" t="s">
        <v>204</v>
      </c>
      <c r="K194" s="4" t="s">
        <v>205</v>
      </c>
      <c r="L194" s="46" t="s">
        <v>206</v>
      </c>
      <c r="M194" s="46" t="s">
        <v>207</v>
      </c>
      <c r="N194" s="46" t="s">
        <v>208</v>
      </c>
      <c r="O194" s="4" t="s">
        <v>183</v>
      </c>
    </row>
    <row r="195" spans="1:15" x14ac:dyDescent="0.25">
      <c r="A195" s="376" t="s">
        <v>171</v>
      </c>
      <c r="B195" s="377"/>
      <c r="C195" s="377"/>
      <c r="D195" s="377"/>
      <c r="E195" s="377"/>
      <c r="F195" s="377"/>
      <c r="G195" s="377"/>
      <c r="H195" s="377"/>
      <c r="I195" s="378"/>
      <c r="J195" s="115">
        <f>SUM(J196:J198)</f>
        <v>17389017.300000001</v>
      </c>
      <c r="K195" s="115">
        <f t="shared" ref="K195:N195" si="26">SUM(K196:K198)</f>
        <v>2083537.59</v>
      </c>
      <c r="L195" s="115">
        <f t="shared" si="26"/>
        <v>1812125.2950000002</v>
      </c>
      <c r="M195" s="115">
        <f t="shared" si="26"/>
        <v>28262884.690000001</v>
      </c>
      <c r="N195" s="115">
        <f t="shared" si="26"/>
        <v>4442581.47</v>
      </c>
      <c r="O195" s="115">
        <f t="shared" ref="O195:O205" si="27">SUM(J195:N195)</f>
        <v>53990146.344999999</v>
      </c>
    </row>
    <row r="196" spans="1:15" x14ac:dyDescent="0.25">
      <c r="A196" s="373" t="s">
        <v>178</v>
      </c>
      <c r="B196" s="374"/>
      <c r="C196" s="374"/>
      <c r="D196" s="374"/>
      <c r="E196" s="374"/>
      <c r="F196" s="374"/>
      <c r="G196" s="374"/>
      <c r="H196" s="374"/>
      <c r="I196" s="375"/>
      <c r="J196" s="7">
        <f>J182*62.3%</f>
        <v>16791781.300000001</v>
      </c>
      <c r="K196" s="7">
        <f>N182*32.1%</f>
        <v>1954822.59</v>
      </c>
      <c r="L196" s="7">
        <f>R182*41.7%</f>
        <v>1733525.2950000002</v>
      </c>
      <c r="M196" s="7">
        <f>V182*81%</f>
        <v>27167439.690000001</v>
      </c>
      <c r="N196" s="7">
        <f>Z182*46.3%</f>
        <v>4372891.47</v>
      </c>
      <c r="O196" s="7">
        <f t="shared" si="27"/>
        <v>52020460.344999999</v>
      </c>
    </row>
    <row r="197" spans="1:15" x14ac:dyDescent="0.25">
      <c r="A197" s="274" t="s">
        <v>176</v>
      </c>
      <c r="B197" s="369"/>
      <c r="C197" s="369"/>
      <c r="D197" s="369"/>
      <c r="E197" s="369"/>
      <c r="F197" s="369"/>
      <c r="G197" s="369"/>
      <c r="H197" s="369"/>
      <c r="I197" s="275"/>
      <c r="J197" s="35">
        <f>J178+J179</f>
        <v>200000</v>
      </c>
      <c r="K197" s="35">
        <f>N178+N179</f>
        <v>40000</v>
      </c>
      <c r="L197" s="35">
        <f>R178+R179</f>
        <v>78600</v>
      </c>
      <c r="M197" s="35">
        <f>V178+V179</f>
        <v>1095445</v>
      </c>
      <c r="N197" s="35">
        <f>Z178+Z179</f>
        <v>69690</v>
      </c>
      <c r="O197" s="35">
        <f t="shared" si="27"/>
        <v>1483735</v>
      </c>
    </row>
    <row r="198" spans="1:15" x14ac:dyDescent="0.25">
      <c r="A198" s="274" t="s">
        <v>175</v>
      </c>
      <c r="B198" s="369"/>
      <c r="C198" s="369"/>
      <c r="D198" s="369"/>
      <c r="E198" s="369"/>
      <c r="F198" s="369"/>
      <c r="G198" s="369"/>
      <c r="H198" s="369"/>
      <c r="I198" s="275"/>
      <c r="J198" s="35">
        <f>J171+J172+J181</f>
        <v>397236</v>
      </c>
      <c r="K198" s="35">
        <f>N171+N172+N181</f>
        <v>88715</v>
      </c>
      <c r="L198" s="35">
        <f>R151+R152+R161</f>
        <v>0</v>
      </c>
      <c r="M198" s="35">
        <f>V151+V152+V161</f>
        <v>0</v>
      </c>
      <c r="N198" s="35">
        <f>Z151+Z152+Z161</f>
        <v>0</v>
      </c>
      <c r="O198" s="35">
        <f t="shared" si="27"/>
        <v>485951</v>
      </c>
    </row>
    <row r="199" spans="1:15" x14ac:dyDescent="0.25">
      <c r="A199" s="370" t="s">
        <v>177</v>
      </c>
      <c r="B199" s="371"/>
      <c r="C199" s="371"/>
      <c r="D199" s="371"/>
      <c r="E199" s="371"/>
      <c r="F199" s="371"/>
      <c r="G199" s="371"/>
      <c r="H199" s="371"/>
      <c r="I199" s="372"/>
      <c r="J199" s="114">
        <f>J200+J201+J205+J207+J208</f>
        <v>12103124.699999999</v>
      </c>
      <c r="K199" s="114">
        <f t="shared" ref="K199:N199" si="28">K200+K201+K205+K207+K208</f>
        <v>5191360.41</v>
      </c>
      <c r="L199" s="114">
        <f>L200+L201+L205+L207+L208</f>
        <v>3022834.7050000001</v>
      </c>
      <c r="M199" s="114">
        <f t="shared" si="28"/>
        <v>11804615.309999999</v>
      </c>
      <c r="N199" s="114">
        <f t="shared" si="28"/>
        <v>6243118.5300000003</v>
      </c>
      <c r="O199" s="114">
        <f t="shared" si="27"/>
        <v>38365053.654999994</v>
      </c>
    </row>
    <row r="200" spans="1:15" x14ac:dyDescent="0.25">
      <c r="A200" s="373" t="s">
        <v>179</v>
      </c>
      <c r="B200" s="374"/>
      <c r="C200" s="374"/>
      <c r="D200" s="374"/>
      <c r="E200" s="374"/>
      <c r="F200" s="374"/>
      <c r="G200" s="374"/>
      <c r="H200" s="374"/>
      <c r="I200" s="375"/>
      <c r="J200" s="113">
        <f>J182-J196</f>
        <v>10161318.699999999</v>
      </c>
      <c r="K200" s="113">
        <f>N182-K196</f>
        <v>4134967.41</v>
      </c>
      <c r="L200" s="113">
        <f>R182-L196</f>
        <v>2423609.7050000001</v>
      </c>
      <c r="M200" s="113">
        <f>V182-M196</f>
        <v>6372609.3099999987</v>
      </c>
      <c r="N200" s="113">
        <f>Z182-N196</f>
        <v>5071798.53</v>
      </c>
      <c r="O200" s="113">
        <f t="shared" si="27"/>
        <v>28164303.655000001</v>
      </c>
    </row>
    <row r="201" spans="1:15" x14ac:dyDescent="0.25">
      <c r="A201" s="274" t="s">
        <v>171</v>
      </c>
      <c r="B201" s="369"/>
      <c r="C201" s="369"/>
      <c r="D201" s="369"/>
      <c r="E201" s="369"/>
      <c r="F201" s="369"/>
      <c r="G201" s="369"/>
      <c r="H201" s="369"/>
      <c r="I201" s="275"/>
      <c r="J201" s="113">
        <f>SUM(J202:J204)</f>
        <v>806810.2</v>
      </c>
      <c r="K201" s="113">
        <f t="shared" ref="K201:N201" si="29">SUM(K202:K204)</f>
        <v>217341.9</v>
      </c>
      <c r="L201" s="113">
        <f t="shared" si="29"/>
        <v>296001</v>
      </c>
      <c r="M201" s="113">
        <f t="shared" si="29"/>
        <v>800419.9</v>
      </c>
      <c r="N201" s="113">
        <f t="shared" si="29"/>
        <v>377829.5</v>
      </c>
      <c r="O201" s="113">
        <f t="shared" si="27"/>
        <v>2498402.5</v>
      </c>
    </row>
    <row r="202" spans="1:15" x14ac:dyDescent="0.25">
      <c r="A202" s="274" t="s">
        <v>172</v>
      </c>
      <c r="B202" s="369"/>
      <c r="C202" s="369"/>
      <c r="D202" s="369"/>
      <c r="E202" s="369"/>
      <c r="F202" s="369"/>
      <c r="G202" s="369"/>
      <c r="H202" s="369"/>
      <c r="I202" s="275"/>
      <c r="J202" s="35">
        <f>152523*90%</f>
        <v>137270.70000000001</v>
      </c>
      <c r="K202" s="35">
        <f>57581*90%</f>
        <v>51822.9</v>
      </c>
      <c r="L202" s="35">
        <f>20535*90%</f>
        <v>18481.5</v>
      </c>
      <c r="M202" s="35">
        <f>163486*90%</f>
        <v>147137.4</v>
      </c>
      <c r="N202" s="35">
        <f>54140*90%</f>
        <v>48726</v>
      </c>
      <c r="O202" s="35">
        <f t="shared" si="27"/>
        <v>403438.5</v>
      </c>
    </row>
    <row r="203" spans="1:15" x14ac:dyDescent="0.25">
      <c r="A203" s="274" t="s">
        <v>173</v>
      </c>
      <c r="B203" s="369"/>
      <c r="C203" s="369"/>
      <c r="D203" s="369"/>
      <c r="E203" s="369"/>
      <c r="F203" s="369"/>
      <c r="G203" s="369"/>
      <c r="H203" s="369"/>
      <c r="I203" s="275"/>
      <c r="J203" s="35">
        <f>1122969*50%</f>
        <v>561484.5</v>
      </c>
      <c r="K203" s="35">
        <f>294552*50%</f>
        <v>147276</v>
      </c>
      <c r="L203" s="35">
        <f>546753*50%</f>
        <v>273376.5</v>
      </c>
      <c r="M203" s="35">
        <f>1290405*50%</f>
        <v>645202.5</v>
      </c>
      <c r="N203" s="35">
        <f>609093*50%</f>
        <v>304546.5</v>
      </c>
      <c r="O203" s="35">
        <f t="shared" si="27"/>
        <v>1931886</v>
      </c>
    </row>
    <row r="204" spans="1:15" x14ac:dyDescent="0.25">
      <c r="A204" s="274" t="s">
        <v>174</v>
      </c>
      <c r="B204" s="369"/>
      <c r="C204" s="369"/>
      <c r="D204" s="369"/>
      <c r="E204" s="369"/>
      <c r="F204" s="369"/>
      <c r="G204" s="369"/>
      <c r="H204" s="369"/>
      <c r="I204" s="275"/>
      <c r="J204" s="35">
        <f>44005+64050</f>
        <v>108055</v>
      </c>
      <c r="K204" s="35">
        <f>7429+10814</f>
        <v>18243</v>
      </c>
      <c r="L204" s="35">
        <v>4143</v>
      </c>
      <c r="M204" s="35">
        <f>3714+4366</f>
        <v>8080</v>
      </c>
      <c r="N204" s="35">
        <f>10001+14556</f>
        <v>24557</v>
      </c>
      <c r="O204" s="35">
        <f t="shared" si="27"/>
        <v>163078</v>
      </c>
    </row>
    <row r="205" spans="1:15" x14ac:dyDescent="0.25">
      <c r="A205" s="274" t="s">
        <v>180</v>
      </c>
      <c r="B205" s="369"/>
      <c r="C205" s="369"/>
      <c r="D205" s="369"/>
      <c r="E205" s="369"/>
      <c r="F205" s="369"/>
      <c r="G205" s="369"/>
      <c r="H205" s="369"/>
      <c r="I205" s="275"/>
      <c r="J205" s="35">
        <f>J183</f>
        <v>127180</v>
      </c>
      <c r="K205" s="35">
        <f>N183</f>
        <v>95000</v>
      </c>
      <c r="L205" s="35">
        <f>R163</f>
        <v>0</v>
      </c>
      <c r="M205" s="35">
        <f>V163</f>
        <v>0</v>
      </c>
      <c r="N205" s="35">
        <f>Z183</f>
        <v>111362</v>
      </c>
      <c r="O205" s="35">
        <f t="shared" si="27"/>
        <v>333542</v>
      </c>
    </row>
    <row r="206" spans="1:15" x14ac:dyDescent="0.25">
      <c r="A206" s="274" t="s">
        <v>181</v>
      </c>
      <c r="B206" s="369"/>
      <c r="C206" s="369"/>
      <c r="D206" s="369"/>
      <c r="E206" s="369"/>
      <c r="F206" s="369"/>
      <c r="G206" s="369"/>
      <c r="H206" s="369"/>
      <c r="I206" s="275"/>
      <c r="J206" s="35"/>
      <c r="K206" s="35"/>
      <c r="L206" s="35"/>
      <c r="M206" s="35"/>
      <c r="N206" s="35"/>
      <c r="O206" s="7"/>
    </row>
    <row r="207" spans="1:15" x14ac:dyDescent="0.25">
      <c r="A207" s="364" t="s">
        <v>182</v>
      </c>
      <c r="B207" s="268"/>
      <c r="C207" s="268"/>
      <c r="D207" s="268"/>
      <c r="E207" s="268"/>
      <c r="F207" s="268"/>
      <c r="G207" s="268"/>
      <c r="H207" s="268"/>
      <c r="I207" s="365"/>
      <c r="J207" s="35">
        <f>J174-J201+J175+J177+J180-J208</f>
        <v>762508.80000000005</v>
      </c>
      <c r="K207" s="35">
        <f>N174-K201+N175+N177+N180-K208</f>
        <v>713612.1</v>
      </c>
      <c r="L207" s="35">
        <f>R174-L201+R175+R177+R180+R183</f>
        <v>226620</v>
      </c>
      <c r="M207" s="35">
        <f>V174-M201+V175+V177+V180+V183</f>
        <v>3525666.1</v>
      </c>
      <c r="N207" s="35">
        <f>Z174-N201+Z177+Z175+Z180</f>
        <v>622330.5</v>
      </c>
      <c r="O207" s="35">
        <f>SUM(J207:N207)</f>
        <v>5850737.5</v>
      </c>
    </row>
    <row r="208" spans="1:15" x14ac:dyDescent="0.25">
      <c r="A208" s="274" t="s">
        <v>175</v>
      </c>
      <c r="B208" s="369"/>
      <c r="C208" s="369"/>
      <c r="D208" s="369"/>
      <c r="E208" s="369"/>
      <c r="F208" s="369"/>
      <c r="G208" s="369"/>
      <c r="H208" s="369"/>
      <c r="I208" s="275"/>
      <c r="J208" s="35">
        <v>245307</v>
      </c>
      <c r="K208" s="35">
        <v>30439</v>
      </c>
      <c r="L208" s="35">
        <f>R171+R181</f>
        <v>76604</v>
      </c>
      <c r="M208" s="35">
        <f>V171+V172+V181</f>
        <v>1105920</v>
      </c>
      <c r="N208" s="35">
        <f>Z171+Z181</f>
        <v>59798</v>
      </c>
      <c r="O208" s="35">
        <f>SUM(J208:N208)</f>
        <v>1518068</v>
      </c>
    </row>
    <row r="209" spans="1:16" x14ac:dyDescent="0.25">
      <c r="A209" s="382" t="s">
        <v>183</v>
      </c>
      <c r="B209" s="383"/>
      <c r="C209" s="383"/>
      <c r="D209" s="383"/>
      <c r="E209" s="383"/>
      <c r="F209" s="383"/>
      <c r="G209" s="383"/>
      <c r="H209" s="383"/>
      <c r="I209" s="384"/>
      <c r="J209" s="114">
        <f>J195+J199</f>
        <v>29492142</v>
      </c>
      <c r="K209" s="114">
        <f>K195+K199</f>
        <v>7274898</v>
      </c>
      <c r="L209" s="114">
        <f>L195+L199</f>
        <v>4834960</v>
      </c>
      <c r="M209" s="114">
        <f>M195+M199</f>
        <v>40067500</v>
      </c>
      <c r="N209" s="114">
        <f>N195+N199</f>
        <v>10685700</v>
      </c>
      <c r="O209" s="114">
        <f>SUM(J209:N209)</f>
        <v>92355200</v>
      </c>
      <c r="P209" s="31"/>
    </row>
    <row r="210" spans="1:16" x14ac:dyDescent="0.25">
      <c r="A210" s="274" t="s">
        <v>209</v>
      </c>
      <c r="B210" s="369"/>
      <c r="C210" s="369"/>
      <c r="D210" s="369"/>
      <c r="E210" s="369"/>
      <c r="F210" s="369"/>
      <c r="G210" s="369"/>
      <c r="H210" s="369"/>
      <c r="I210" s="275"/>
      <c r="J210" s="35">
        <f>J209/270</f>
        <v>109230.15555555555</v>
      </c>
      <c r="K210" s="35">
        <f>K209/70</f>
        <v>103927.11428571428</v>
      </c>
      <c r="L210" s="35">
        <f>L209/24</f>
        <v>201456.66666666666</v>
      </c>
      <c r="M210" s="9"/>
      <c r="N210" s="35"/>
      <c r="O210" s="7"/>
    </row>
    <row r="211" spans="1:16" x14ac:dyDescent="0.25">
      <c r="A211" s="274" t="s">
        <v>210</v>
      </c>
      <c r="B211" s="369"/>
      <c r="C211" s="369"/>
      <c r="D211" s="369"/>
      <c r="E211" s="369"/>
      <c r="F211" s="369"/>
      <c r="G211" s="369"/>
      <c r="H211" s="369"/>
      <c r="I211" s="275"/>
      <c r="J211" s="7"/>
      <c r="K211" s="7"/>
      <c r="L211" s="7"/>
      <c r="M211" s="35">
        <f>M209/74500</f>
        <v>537.81879194630869</v>
      </c>
      <c r="N211" s="7"/>
      <c r="O211" s="7"/>
    </row>
    <row r="212" spans="1:16" x14ac:dyDescent="0.25">
      <c r="A212" s="274" t="s">
        <v>230</v>
      </c>
      <c r="B212" s="369"/>
      <c r="C212" s="369"/>
      <c r="D212" s="369"/>
      <c r="E212" s="369"/>
      <c r="F212" s="369"/>
      <c r="G212" s="369"/>
      <c r="H212" s="369"/>
      <c r="I212" s="275"/>
      <c r="J212" s="7"/>
      <c r="K212" s="7"/>
      <c r="L212" s="7"/>
      <c r="M212" s="7"/>
      <c r="N212" s="35">
        <f>N209/9836</f>
        <v>1086.3867425782839</v>
      </c>
      <c r="O212" s="7"/>
    </row>
    <row r="215" spans="1:16" x14ac:dyDescent="0.25">
      <c r="B215" t="s">
        <v>112</v>
      </c>
    </row>
    <row r="216" spans="1:16" x14ac:dyDescent="0.25">
      <c r="A216" s="393">
        <f>O41+O88+M158+O209</f>
        <v>251091366.28882876</v>
      </c>
      <c r="B216" s="394"/>
      <c r="C216" s="394"/>
      <c r="D216" s="394"/>
      <c r="E216" s="394"/>
      <c r="F216" s="394"/>
      <c r="G216" s="394"/>
      <c r="H216" s="394"/>
      <c r="I216" s="394"/>
      <c r="J216" s="144"/>
      <c r="K216" s="144"/>
      <c r="L216" s="145"/>
      <c r="M216" s="144"/>
      <c r="N216" s="144"/>
      <c r="O216" s="144"/>
    </row>
    <row r="217" spans="1:16" x14ac:dyDescent="0.25">
      <c r="A217" s="394"/>
      <c r="B217" s="394"/>
      <c r="C217" s="394"/>
      <c r="D217" s="394"/>
      <c r="E217" s="394"/>
      <c r="F217" s="394"/>
      <c r="G217" s="394"/>
      <c r="H217" s="394"/>
      <c r="I217" s="394"/>
    </row>
    <row r="218" spans="1:16" x14ac:dyDescent="0.25">
      <c r="A218" s="391"/>
      <c r="B218" s="391"/>
      <c r="C218" s="391"/>
      <c r="D218" s="391"/>
      <c r="E218" s="391"/>
      <c r="F218" s="391"/>
      <c r="G218" s="391"/>
      <c r="H218" s="391"/>
      <c r="I218" s="391"/>
    </row>
    <row r="219" spans="1:16" x14ac:dyDescent="0.25">
      <c r="A219" s="390"/>
      <c r="B219" s="390"/>
      <c r="C219" s="390"/>
      <c r="D219" s="390"/>
      <c r="E219" s="390"/>
      <c r="F219" s="390"/>
      <c r="G219" s="390"/>
      <c r="H219" s="390"/>
      <c r="I219" s="390"/>
      <c r="J219" s="31"/>
      <c r="K219" s="31"/>
      <c r="L219" s="31"/>
      <c r="M219" s="31"/>
      <c r="N219" s="31"/>
      <c r="O219" s="31"/>
    </row>
    <row r="220" spans="1:16" x14ac:dyDescent="0.25">
      <c r="A220" s="390"/>
      <c r="B220" s="390"/>
      <c r="C220" s="390"/>
      <c r="D220" s="390"/>
      <c r="E220" s="390"/>
      <c r="F220" s="390"/>
      <c r="G220" s="390"/>
      <c r="H220" s="390"/>
      <c r="I220" s="390"/>
      <c r="J220" s="31"/>
      <c r="K220" s="31"/>
      <c r="L220" s="31"/>
      <c r="M220" s="31"/>
      <c r="N220" s="31"/>
      <c r="O220" s="31"/>
    </row>
    <row r="221" spans="1:16" x14ac:dyDescent="0.25">
      <c r="A221" s="392"/>
      <c r="B221" s="392"/>
      <c r="C221" s="392"/>
      <c r="D221" s="392"/>
      <c r="E221" s="392"/>
      <c r="F221" s="392"/>
      <c r="G221" s="392"/>
      <c r="H221" s="392"/>
      <c r="I221" s="392"/>
      <c r="J221" s="31"/>
      <c r="K221" s="31"/>
      <c r="L221" s="31"/>
      <c r="M221" s="31"/>
      <c r="N221" s="31"/>
      <c r="O221" s="31"/>
    </row>
    <row r="222" spans="1:16" x14ac:dyDescent="0.25">
      <c r="A222" s="391"/>
      <c r="B222" s="391"/>
      <c r="C222" s="391"/>
      <c r="D222" s="391"/>
      <c r="E222" s="391"/>
      <c r="F222" s="391"/>
      <c r="G222" s="391"/>
      <c r="H222" s="391"/>
      <c r="I222" s="391"/>
      <c r="J222" s="31"/>
      <c r="K222" s="31"/>
      <c r="L222" s="31"/>
      <c r="M222" s="31"/>
      <c r="N222" s="31"/>
    </row>
    <row r="223" spans="1:16" x14ac:dyDescent="0.25">
      <c r="A223" s="390"/>
      <c r="B223" s="390"/>
      <c r="C223" s="390"/>
      <c r="D223" s="390"/>
      <c r="E223" s="390"/>
      <c r="F223" s="390"/>
      <c r="G223" s="390"/>
      <c r="H223" s="390"/>
      <c r="I223" s="390"/>
      <c r="J223" s="31"/>
      <c r="K223" s="31"/>
      <c r="L223" s="31"/>
      <c r="M223" s="31"/>
      <c r="N223" s="31"/>
    </row>
    <row r="224" spans="1:16" x14ac:dyDescent="0.25">
      <c r="A224" s="32"/>
      <c r="B224" s="32"/>
      <c r="C224" s="32"/>
      <c r="D224" s="32"/>
      <c r="E224" s="32"/>
      <c r="F224" s="32"/>
      <c r="G224" s="32"/>
      <c r="H224" s="32"/>
      <c r="I224" s="32"/>
      <c r="J224" s="31"/>
      <c r="K224" s="31"/>
      <c r="L224" s="31"/>
      <c r="M224" s="31"/>
      <c r="N224" s="31"/>
      <c r="O224" s="31"/>
    </row>
    <row r="225" spans="1:15" x14ac:dyDescent="0.25">
      <c r="A225" s="390"/>
      <c r="B225" s="390"/>
      <c r="C225" s="390"/>
      <c r="D225" s="390"/>
      <c r="E225" s="390"/>
      <c r="F225" s="390"/>
      <c r="G225" s="390"/>
      <c r="H225" s="390"/>
      <c r="I225" s="390"/>
      <c r="J225" s="31"/>
      <c r="K225" s="31"/>
      <c r="L225" s="31"/>
      <c r="M225" s="31"/>
      <c r="N225" s="31"/>
      <c r="O225" s="31"/>
    </row>
    <row r="226" spans="1:15" x14ac:dyDescent="0.25">
      <c r="A226" s="390"/>
      <c r="B226" s="390"/>
      <c r="C226" s="390"/>
      <c r="D226" s="390"/>
      <c r="E226" s="390"/>
      <c r="F226" s="390"/>
      <c r="G226" s="390"/>
      <c r="H226" s="390"/>
      <c r="I226" s="390"/>
      <c r="J226" s="31"/>
      <c r="K226" s="31"/>
      <c r="L226" s="31"/>
      <c r="M226" s="31"/>
      <c r="N226" s="31"/>
      <c r="O226" s="31"/>
    </row>
    <row r="227" spans="1:15" x14ac:dyDescent="0.25">
      <c r="A227" s="390"/>
      <c r="B227" s="390"/>
      <c r="C227" s="390"/>
      <c r="D227" s="390"/>
      <c r="E227" s="390"/>
      <c r="F227" s="390"/>
      <c r="G227" s="390"/>
      <c r="H227" s="390"/>
      <c r="I227" s="390"/>
      <c r="J227" s="31"/>
      <c r="K227" s="31"/>
      <c r="L227" s="31"/>
      <c r="M227" s="31"/>
      <c r="N227" s="31"/>
    </row>
    <row r="228" spans="1:15" x14ac:dyDescent="0.25">
      <c r="A228" s="390"/>
      <c r="B228" s="390"/>
      <c r="C228" s="390"/>
      <c r="D228" s="390"/>
      <c r="E228" s="390"/>
      <c r="F228" s="390"/>
      <c r="G228" s="390"/>
      <c r="H228" s="390"/>
      <c r="I228" s="390"/>
      <c r="J228" s="31"/>
      <c r="K228" s="31"/>
      <c r="L228" s="31"/>
      <c r="M228" s="31"/>
      <c r="N228" s="31"/>
    </row>
    <row r="229" spans="1:15" x14ac:dyDescent="0.25">
      <c r="A229" s="391"/>
      <c r="B229" s="391"/>
      <c r="C229" s="391"/>
      <c r="D229" s="391"/>
      <c r="E229" s="391"/>
      <c r="F229" s="391"/>
      <c r="G229" s="391"/>
      <c r="H229" s="391"/>
      <c r="I229" s="391"/>
      <c r="J229" s="31"/>
      <c r="K229" s="31"/>
      <c r="L229" s="31"/>
      <c r="M229" s="31"/>
      <c r="N229" s="31"/>
    </row>
    <row r="230" spans="1:15" x14ac:dyDescent="0.25">
      <c r="A230" s="391"/>
      <c r="B230" s="391"/>
      <c r="C230" s="391"/>
      <c r="D230" s="391"/>
      <c r="E230" s="391"/>
      <c r="F230" s="391"/>
      <c r="G230" s="391"/>
      <c r="H230" s="391"/>
      <c r="I230" s="391"/>
      <c r="J230" s="31"/>
      <c r="K230" s="31"/>
      <c r="L230" s="31"/>
      <c r="M230" s="31"/>
      <c r="N230" s="31"/>
      <c r="O230" s="31"/>
    </row>
    <row r="231" spans="1:15" x14ac:dyDescent="0.25">
      <c r="A231" s="390"/>
      <c r="B231" s="390"/>
      <c r="C231" s="390"/>
      <c r="D231" s="390"/>
      <c r="E231" s="390"/>
      <c r="F231" s="390"/>
      <c r="G231" s="390"/>
      <c r="H231" s="390"/>
      <c r="I231" s="390"/>
      <c r="J231" s="31"/>
      <c r="K231" s="31"/>
      <c r="L231" s="31"/>
      <c r="M231" s="31"/>
      <c r="N231" s="31"/>
      <c r="O231" s="31"/>
    </row>
    <row r="232" spans="1:15" x14ac:dyDescent="0.25">
      <c r="A232" s="390"/>
      <c r="B232" s="390"/>
      <c r="C232" s="390"/>
      <c r="D232" s="390"/>
      <c r="E232" s="390"/>
      <c r="F232" s="390"/>
      <c r="G232" s="390"/>
      <c r="H232" s="390"/>
      <c r="I232" s="390"/>
      <c r="J232" s="31"/>
      <c r="K232" s="31"/>
      <c r="L232" s="31"/>
      <c r="M232" s="31"/>
      <c r="N232" s="31"/>
      <c r="O232" s="31"/>
    </row>
    <row r="233" spans="1:15" x14ac:dyDescent="0.25">
      <c r="A233" s="390"/>
      <c r="B233" s="390"/>
      <c r="C233" s="390"/>
      <c r="D233" s="390"/>
      <c r="E233" s="390"/>
      <c r="F233" s="390"/>
      <c r="G233" s="390"/>
      <c r="H233" s="390"/>
      <c r="I233" s="390"/>
      <c r="J233" s="31"/>
      <c r="K233" s="31"/>
      <c r="L233" s="31"/>
      <c r="M233" s="31"/>
      <c r="N233" s="31"/>
    </row>
  </sheetData>
  <mergeCells count="220">
    <mergeCell ref="O5:R5"/>
    <mergeCell ref="S5:V5"/>
    <mergeCell ref="W5:Z5"/>
    <mergeCell ref="AA5:AA6"/>
    <mergeCell ref="B7:D7"/>
    <mergeCell ref="B8:D8"/>
    <mergeCell ref="A5:A6"/>
    <mergeCell ref="B5:D6"/>
    <mergeCell ref="E5:E6"/>
    <mergeCell ref="F5:F6"/>
    <mergeCell ref="G5:J5"/>
    <mergeCell ref="K5:N5"/>
    <mergeCell ref="B15:D15"/>
    <mergeCell ref="B16:D16"/>
    <mergeCell ref="B17:D17"/>
    <mergeCell ref="B18:D18"/>
    <mergeCell ref="B19:D19"/>
    <mergeCell ref="B20:D20"/>
    <mergeCell ref="B9:D9"/>
    <mergeCell ref="B10:D10"/>
    <mergeCell ref="B11:D11"/>
    <mergeCell ref="B12:D12"/>
    <mergeCell ref="B13:D13"/>
    <mergeCell ref="B14:D14"/>
    <mergeCell ref="A30:I30"/>
    <mergeCell ref="A31:I31"/>
    <mergeCell ref="A32:I32"/>
    <mergeCell ref="A34:I34"/>
    <mergeCell ref="A35:I35"/>
    <mergeCell ref="A36:I36"/>
    <mergeCell ref="A21:D21"/>
    <mergeCell ref="A25:I25"/>
    <mergeCell ref="A26:I26"/>
    <mergeCell ref="A27:I27"/>
    <mergeCell ref="A28:I28"/>
    <mergeCell ref="A29:I29"/>
    <mergeCell ref="K50:N50"/>
    <mergeCell ref="S50:V50"/>
    <mergeCell ref="W50:Z50"/>
    <mergeCell ref="AA50:AA51"/>
    <mergeCell ref="B52:D52"/>
    <mergeCell ref="B53:D53"/>
    <mergeCell ref="A37:I37"/>
    <mergeCell ref="A38:I39"/>
    <mergeCell ref="A40:I40"/>
    <mergeCell ref="A41:I41"/>
    <mergeCell ref="A42:I42"/>
    <mergeCell ref="A50:A51"/>
    <mergeCell ref="B50:D51"/>
    <mergeCell ref="E50:E51"/>
    <mergeCell ref="F50:F51"/>
    <mergeCell ref="G50:J50"/>
    <mergeCell ref="O50:R50"/>
    <mergeCell ref="R54:R55"/>
    <mergeCell ref="U54:U55"/>
    <mergeCell ref="V54:V55"/>
    <mergeCell ref="Y54:Y55"/>
    <mergeCell ref="Z54:Z55"/>
    <mergeCell ref="B55:D55"/>
    <mergeCell ref="B54:D54"/>
    <mergeCell ref="I54:I55"/>
    <mergeCell ref="J54:J55"/>
    <mergeCell ref="M54:M55"/>
    <mergeCell ref="N54:N55"/>
    <mergeCell ref="Q54:Q55"/>
    <mergeCell ref="A78:I78"/>
    <mergeCell ref="B62:D62"/>
    <mergeCell ref="B63:D63"/>
    <mergeCell ref="B64:D64"/>
    <mergeCell ref="A65:D65"/>
    <mergeCell ref="A69:I69"/>
    <mergeCell ref="A71:I71"/>
    <mergeCell ref="B56:D56"/>
    <mergeCell ref="B57:D57"/>
    <mergeCell ref="B58:D58"/>
    <mergeCell ref="B59:D59"/>
    <mergeCell ref="B60:D60"/>
    <mergeCell ref="B61:D61"/>
    <mergeCell ref="K123:N123"/>
    <mergeCell ref="O123:R123"/>
    <mergeCell ref="S123:S124"/>
    <mergeCell ref="B125:D125"/>
    <mergeCell ref="B126:D126"/>
    <mergeCell ref="B127:D127"/>
    <mergeCell ref="A86:I86"/>
    <mergeCell ref="A88:I88"/>
    <mergeCell ref="A89:I89"/>
    <mergeCell ref="A123:A124"/>
    <mergeCell ref="B123:D124"/>
    <mergeCell ref="E123:E124"/>
    <mergeCell ref="F123:F124"/>
    <mergeCell ref="G123:J123"/>
    <mergeCell ref="A100:I100"/>
    <mergeCell ref="A101:I101"/>
    <mergeCell ref="A112:I112"/>
    <mergeCell ref="A110:I110"/>
    <mergeCell ref="B134:D134"/>
    <mergeCell ref="B135:D135"/>
    <mergeCell ref="B136:D136"/>
    <mergeCell ref="B137:D137"/>
    <mergeCell ref="B138:D138"/>
    <mergeCell ref="A143:I143"/>
    <mergeCell ref="B128:D128"/>
    <mergeCell ref="B129:D129"/>
    <mergeCell ref="B130:D130"/>
    <mergeCell ref="B131:D131"/>
    <mergeCell ref="B132:D132"/>
    <mergeCell ref="B133:D133"/>
    <mergeCell ref="W149:Z149"/>
    <mergeCell ref="A150:I150"/>
    <mergeCell ref="A151:I151"/>
    <mergeCell ref="A152:I152"/>
    <mergeCell ref="A153:I153"/>
    <mergeCell ref="A154:I154"/>
    <mergeCell ref="A144:I144"/>
    <mergeCell ref="A145:I145"/>
    <mergeCell ref="A146:I146"/>
    <mergeCell ref="A147:I147"/>
    <mergeCell ref="A148:I148"/>
    <mergeCell ref="A149:I149"/>
    <mergeCell ref="A160:I160"/>
    <mergeCell ref="A169:A170"/>
    <mergeCell ref="B169:D170"/>
    <mergeCell ref="E169:E170"/>
    <mergeCell ref="F169:F170"/>
    <mergeCell ref="G169:J169"/>
    <mergeCell ref="A155:I155"/>
    <mergeCell ref="R155:R156"/>
    <mergeCell ref="A156:I156"/>
    <mergeCell ref="A157:I157"/>
    <mergeCell ref="A158:I158"/>
    <mergeCell ref="A159:I159"/>
    <mergeCell ref="J175:J176"/>
    <mergeCell ref="N175:N176"/>
    <mergeCell ref="R175:R176"/>
    <mergeCell ref="B176:D176"/>
    <mergeCell ref="K169:N169"/>
    <mergeCell ref="O169:R169"/>
    <mergeCell ref="S169:V169"/>
    <mergeCell ref="W169:Z169"/>
    <mergeCell ref="B171:D171"/>
    <mergeCell ref="B172:D172"/>
    <mergeCell ref="B177:D177"/>
    <mergeCell ref="B178:D178"/>
    <mergeCell ref="B179:D179"/>
    <mergeCell ref="B180:D180"/>
    <mergeCell ref="B181:D181"/>
    <mergeCell ref="B182:D182"/>
    <mergeCell ref="B173:D173"/>
    <mergeCell ref="B174:D174"/>
    <mergeCell ref="B175:D175"/>
    <mergeCell ref="A198:I198"/>
    <mergeCell ref="A199:I199"/>
    <mergeCell ref="A200:I200"/>
    <mergeCell ref="A201:I201"/>
    <mergeCell ref="A202:I202"/>
    <mergeCell ref="A203:I203"/>
    <mergeCell ref="B183:D183"/>
    <mergeCell ref="B184:D184"/>
    <mergeCell ref="A194:I194"/>
    <mergeCell ref="A195:I195"/>
    <mergeCell ref="A196:I196"/>
    <mergeCell ref="A197:I197"/>
    <mergeCell ref="A216:I216"/>
    <mergeCell ref="A217:I217"/>
    <mergeCell ref="A218:I218"/>
    <mergeCell ref="A204:I204"/>
    <mergeCell ref="A205:I205"/>
    <mergeCell ref="A206:I206"/>
    <mergeCell ref="A207:I207"/>
    <mergeCell ref="A208:I208"/>
    <mergeCell ref="A209:I209"/>
    <mergeCell ref="A233:I233"/>
    <mergeCell ref="A92:I92"/>
    <mergeCell ref="A93:I93"/>
    <mergeCell ref="A94:I94"/>
    <mergeCell ref="A95:I95"/>
    <mergeCell ref="A96:I96"/>
    <mergeCell ref="A97:I97"/>
    <mergeCell ref="A98:I98"/>
    <mergeCell ref="A99:I99"/>
    <mergeCell ref="A226:I226"/>
    <mergeCell ref="A227:I227"/>
    <mergeCell ref="A228:I228"/>
    <mergeCell ref="A229:I230"/>
    <mergeCell ref="A231:I231"/>
    <mergeCell ref="A232:I232"/>
    <mergeCell ref="A219:I219"/>
    <mergeCell ref="A220:I220"/>
    <mergeCell ref="A221:I221"/>
    <mergeCell ref="A222:I222"/>
    <mergeCell ref="A223:I223"/>
    <mergeCell ref="A225:I225"/>
    <mergeCell ref="A210:I210"/>
    <mergeCell ref="A211:I211"/>
    <mergeCell ref="A212:I212"/>
    <mergeCell ref="A85:I85"/>
    <mergeCell ref="A106:I106"/>
    <mergeCell ref="A70:O70"/>
    <mergeCell ref="A74:I74"/>
    <mergeCell ref="A87:I87"/>
    <mergeCell ref="A91:O91"/>
    <mergeCell ref="A109:I109"/>
    <mergeCell ref="A102:I102"/>
    <mergeCell ref="A103:I103"/>
    <mergeCell ref="A104:I104"/>
    <mergeCell ref="A105:I105"/>
    <mergeCell ref="A107:I107"/>
    <mergeCell ref="A108:I108"/>
    <mergeCell ref="A79:I79"/>
    <mergeCell ref="A80:I80"/>
    <mergeCell ref="A81:I81"/>
    <mergeCell ref="A82:I82"/>
    <mergeCell ref="A83:I83"/>
    <mergeCell ref="A84:I84"/>
    <mergeCell ref="A72:I72"/>
    <mergeCell ref="A73:I73"/>
    <mergeCell ref="A75:I75"/>
    <mergeCell ref="A76:I76"/>
    <mergeCell ref="A77:I77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9D3DE-1B53-47AE-99B0-D29BA7FF3087}">
  <sheetPr>
    <pageSetUpPr fitToPage="1"/>
  </sheetPr>
  <dimension ref="A2:AA262"/>
  <sheetViews>
    <sheetView workbookViewId="0">
      <selection activeCell="R2" sqref="R2:U2"/>
    </sheetView>
  </sheetViews>
  <sheetFormatPr defaultRowHeight="15" x14ac:dyDescent="0.25"/>
  <cols>
    <col min="6" max="7" width="9.28515625" bestFit="1" customWidth="1"/>
    <col min="8" max="8" width="10.28515625" bestFit="1" customWidth="1"/>
    <col min="9" max="9" width="9.28515625" bestFit="1" customWidth="1"/>
    <col min="10" max="10" width="16.42578125" bestFit="1" customWidth="1"/>
    <col min="11" max="11" width="14.85546875" customWidth="1"/>
    <col min="12" max="12" width="15.85546875" customWidth="1"/>
    <col min="13" max="13" width="15.28515625" customWidth="1"/>
    <col min="14" max="14" width="15.28515625" bestFit="1" customWidth="1"/>
    <col min="15" max="15" width="15.85546875" customWidth="1"/>
    <col min="16" max="16" width="11.42578125" customWidth="1"/>
    <col min="17" max="17" width="10.42578125" bestFit="1" customWidth="1"/>
    <col min="18" max="18" width="16" bestFit="1" customWidth="1"/>
    <col min="19" max="20" width="9.28515625" bestFit="1" customWidth="1"/>
    <col min="21" max="21" width="9.5703125" bestFit="1" customWidth="1"/>
    <col min="22" max="22" width="14.7109375" bestFit="1" customWidth="1"/>
    <col min="23" max="24" width="9.28515625" bestFit="1" customWidth="1"/>
    <col min="26" max="26" width="14.7109375" bestFit="1" customWidth="1"/>
    <col min="27" max="27" width="16.28515625" customWidth="1"/>
  </cols>
  <sheetData>
    <row r="2" spans="1:27" ht="16.5" x14ac:dyDescent="0.25">
      <c r="J2" s="121" t="s">
        <v>322</v>
      </c>
      <c r="K2" s="121"/>
      <c r="L2" s="121"/>
      <c r="M2" s="121"/>
      <c r="N2" s="121"/>
      <c r="O2" s="121"/>
      <c r="P2" s="121"/>
      <c r="R2" s="1" t="s">
        <v>410</v>
      </c>
      <c r="S2" s="224"/>
      <c r="T2" s="224"/>
      <c r="U2" s="224"/>
      <c r="V2" s="212"/>
      <c r="W2" s="212"/>
    </row>
    <row r="3" spans="1:27" ht="33.75" customHeight="1" x14ac:dyDescent="0.25">
      <c r="A3" s="417" t="s">
        <v>4</v>
      </c>
      <c r="B3" s="419" t="s">
        <v>71</v>
      </c>
      <c r="C3" s="420"/>
      <c r="D3" s="421"/>
      <c r="E3" s="425" t="s">
        <v>2</v>
      </c>
      <c r="F3" s="409" t="s">
        <v>11</v>
      </c>
      <c r="G3" s="406" t="s">
        <v>5</v>
      </c>
      <c r="H3" s="407"/>
      <c r="I3" s="407"/>
      <c r="J3" s="408"/>
      <c r="K3" s="406" t="s">
        <v>6</v>
      </c>
      <c r="L3" s="407"/>
      <c r="M3" s="407"/>
      <c r="N3" s="408"/>
      <c r="O3" s="406" t="s">
        <v>7</v>
      </c>
      <c r="P3" s="407"/>
      <c r="Q3" s="407"/>
      <c r="R3" s="408"/>
      <c r="S3" s="406" t="s">
        <v>15</v>
      </c>
      <c r="T3" s="407"/>
      <c r="U3" s="407"/>
      <c r="V3" s="408"/>
      <c r="W3" s="406" t="s">
        <v>16</v>
      </c>
      <c r="X3" s="407"/>
      <c r="Y3" s="407"/>
      <c r="Z3" s="408"/>
      <c r="AA3" s="409" t="s">
        <v>110</v>
      </c>
    </row>
    <row r="4" spans="1:27" ht="49.5" x14ac:dyDescent="0.25">
      <c r="A4" s="418"/>
      <c r="B4" s="422"/>
      <c r="C4" s="423"/>
      <c r="D4" s="424"/>
      <c r="E4" s="426"/>
      <c r="F4" s="410"/>
      <c r="G4" s="178" t="s">
        <v>12</v>
      </c>
      <c r="H4" s="178" t="s">
        <v>13</v>
      </c>
      <c r="I4" s="178" t="s">
        <v>14</v>
      </c>
      <c r="J4" s="178" t="s">
        <v>25</v>
      </c>
      <c r="K4" s="178" t="s">
        <v>12</v>
      </c>
      <c r="L4" s="178" t="s">
        <v>13</v>
      </c>
      <c r="M4" s="178" t="s">
        <v>14</v>
      </c>
      <c r="N4" s="178" t="s">
        <v>25</v>
      </c>
      <c r="O4" s="178" t="s">
        <v>12</v>
      </c>
      <c r="P4" s="178" t="s">
        <v>13</v>
      </c>
      <c r="Q4" s="178" t="s">
        <v>3</v>
      </c>
      <c r="R4" s="178" t="s">
        <v>25</v>
      </c>
      <c r="S4" s="178" t="s">
        <v>12</v>
      </c>
      <c r="T4" s="178" t="s">
        <v>13</v>
      </c>
      <c r="U4" s="178" t="s">
        <v>23</v>
      </c>
      <c r="V4" s="179" t="s">
        <v>25</v>
      </c>
      <c r="W4" s="178" t="s">
        <v>12</v>
      </c>
      <c r="X4" s="178" t="s">
        <v>13</v>
      </c>
      <c r="Y4" s="178" t="s">
        <v>23</v>
      </c>
      <c r="Z4" s="178" t="s">
        <v>25</v>
      </c>
      <c r="AA4" s="410"/>
    </row>
    <row r="5" spans="1:27" ht="17.25" x14ac:dyDescent="0.3">
      <c r="A5" s="180" t="s">
        <v>8</v>
      </c>
      <c r="B5" s="411" t="s">
        <v>72</v>
      </c>
      <c r="C5" s="412"/>
      <c r="D5" s="413"/>
      <c r="E5" s="181" t="s">
        <v>73</v>
      </c>
      <c r="F5" s="182">
        <v>3815</v>
      </c>
      <c r="G5" s="182">
        <v>285</v>
      </c>
      <c r="H5" s="182">
        <f>F5*G13</f>
        <v>3193155</v>
      </c>
      <c r="I5" s="182"/>
      <c r="J5" s="184">
        <f>3288900-J6</f>
        <v>3065400</v>
      </c>
      <c r="K5" s="184">
        <v>105</v>
      </c>
      <c r="L5" s="184">
        <f>K10*F5</f>
        <v>1079645</v>
      </c>
      <c r="M5" s="184"/>
      <c r="N5" s="184">
        <f>1244300-N6</f>
        <v>1132800</v>
      </c>
      <c r="O5" s="184">
        <v>103</v>
      </c>
      <c r="P5" s="184">
        <f>F5*O10</f>
        <v>1075830</v>
      </c>
      <c r="Q5" s="184">
        <v>16</v>
      </c>
      <c r="R5" s="184">
        <f>1495800-R6</f>
        <v>1371800</v>
      </c>
      <c r="S5" s="184">
        <v>8</v>
      </c>
      <c r="T5" s="184">
        <f>F5*S14</f>
        <v>118265</v>
      </c>
      <c r="U5" s="184">
        <v>520</v>
      </c>
      <c r="V5" s="184">
        <v>658600</v>
      </c>
      <c r="W5" s="184">
        <v>22</v>
      </c>
      <c r="X5" s="184">
        <f>F5*W13</f>
        <v>347165</v>
      </c>
      <c r="Y5" s="184">
        <v>260</v>
      </c>
      <c r="Z5" s="184">
        <v>994200</v>
      </c>
      <c r="AA5" s="184">
        <f>J5+N5+R5+V5+Z5</f>
        <v>7222800</v>
      </c>
    </row>
    <row r="6" spans="1:27" ht="17.25" x14ac:dyDescent="0.3">
      <c r="A6" s="180" t="s">
        <v>17</v>
      </c>
      <c r="B6" s="414" t="s">
        <v>79</v>
      </c>
      <c r="C6" s="415"/>
      <c r="D6" s="416"/>
      <c r="E6" s="181" t="s">
        <v>73</v>
      </c>
      <c r="F6" s="182">
        <v>260</v>
      </c>
      <c r="G6" s="183">
        <v>1</v>
      </c>
      <c r="H6" s="182">
        <f>F6*G13</f>
        <v>217620</v>
      </c>
      <c r="I6" s="182"/>
      <c r="J6" s="184">
        <f>37500+186000</f>
        <v>223500</v>
      </c>
      <c r="K6" s="184">
        <v>153</v>
      </c>
      <c r="L6" s="184">
        <f>F6*K10</f>
        <v>73580</v>
      </c>
      <c r="M6" s="184">
        <v>40</v>
      </c>
      <c r="N6" s="184">
        <f>17500+94000</f>
        <v>111500</v>
      </c>
      <c r="O6" s="184">
        <v>129</v>
      </c>
      <c r="P6" s="184">
        <f>F6*O10</f>
        <v>73320</v>
      </c>
      <c r="Q6" s="184">
        <v>70</v>
      </c>
      <c r="R6" s="184">
        <f>20000+104000</f>
        <v>124000</v>
      </c>
      <c r="S6" s="184">
        <v>20</v>
      </c>
      <c r="T6" s="184">
        <f>F6*S14</f>
        <v>8060</v>
      </c>
      <c r="U6" s="184"/>
      <c r="V6" s="184">
        <f>5000+26000</f>
        <v>31000</v>
      </c>
      <c r="W6" s="196">
        <v>32</v>
      </c>
      <c r="X6" s="184">
        <f>F6*W13</f>
        <v>23660</v>
      </c>
      <c r="Y6" s="184">
        <v>140</v>
      </c>
      <c r="Z6" s="184">
        <f>4500+32000</f>
        <v>36500</v>
      </c>
      <c r="AA6" s="184">
        <f t="shared" ref="AA6:AA20" si="0">J6+N6+R6+V6+Z6</f>
        <v>526500</v>
      </c>
    </row>
    <row r="7" spans="1:27" ht="17.25" x14ac:dyDescent="0.3">
      <c r="A7" s="180" t="s">
        <v>20</v>
      </c>
      <c r="B7" s="433" t="s">
        <v>80</v>
      </c>
      <c r="C7" s="434"/>
      <c r="D7" s="435"/>
      <c r="E7" s="181" t="s">
        <v>73</v>
      </c>
      <c r="F7" s="182">
        <v>700</v>
      </c>
      <c r="G7" s="182">
        <v>364</v>
      </c>
      <c r="H7" s="182">
        <f>F7*G8</f>
        <v>1400</v>
      </c>
      <c r="I7" s="182"/>
      <c r="J7" s="184"/>
      <c r="K7" s="184">
        <v>1</v>
      </c>
      <c r="L7" s="184">
        <f>F7*K7</f>
        <v>700</v>
      </c>
      <c r="M7" s="184"/>
      <c r="N7" s="184"/>
      <c r="O7" s="184"/>
      <c r="P7" s="184">
        <f>F7*O7</f>
        <v>0</v>
      </c>
      <c r="Q7" s="184"/>
      <c r="R7" s="184"/>
      <c r="S7" s="184"/>
      <c r="T7" s="184">
        <f>F7*S7</f>
        <v>0</v>
      </c>
      <c r="U7" s="184"/>
      <c r="V7" s="184"/>
      <c r="W7" s="184"/>
      <c r="X7" s="184">
        <f>W7*F7</f>
        <v>0</v>
      </c>
      <c r="Y7" s="184"/>
      <c r="Z7" s="184"/>
      <c r="AA7" s="184">
        <f t="shared" si="0"/>
        <v>0</v>
      </c>
    </row>
    <row r="8" spans="1:27" ht="17.25" x14ac:dyDescent="0.3">
      <c r="A8" s="180" t="s">
        <v>27</v>
      </c>
      <c r="B8" s="433" t="s">
        <v>81</v>
      </c>
      <c r="C8" s="434"/>
      <c r="D8" s="435"/>
      <c r="E8" s="181" t="s">
        <v>73</v>
      </c>
      <c r="F8" s="182">
        <v>2100</v>
      </c>
      <c r="G8" s="182">
        <v>2</v>
      </c>
      <c r="H8" s="182">
        <f>F8*G13</f>
        <v>1757700</v>
      </c>
      <c r="I8" s="182"/>
      <c r="J8" s="184">
        <f>952184+444341</f>
        <v>1396525</v>
      </c>
      <c r="K8" s="184">
        <v>24</v>
      </c>
      <c r="L8" s="184">
        <f>F8*K7</f>
        <v>2100</v>
      </c>
      <c r="M8" s="184"/>
      <c r="N8" s="184">
        <v>38380</v>
      </c>
      <c r="O8" s="184">
        <v>50</v>
      </c>
      <c r="P8" s="184"/>
      <c r="Q8" s="184"/>
      <c r="R8" s="184">
        <f>705818+3928000</f>
        <v>4633818</v>
      </c>
      <c r="S8" s="184"/>
      <c r="T8" s="184">
        <f>F8*S14</f>
        <v>65100</v>
      </c>
      <c r="U8" s="184"/>
      <c r="V8" s="184">
        <f>497635+1825141.2</f>
        <v>2322776.2000000002</v>
      </c>
      <c r="W8" s="184">
        <v>11</v>
      </c>
      <c r="X8" s="184">
        <f>F8*W13</f>
        <v>191100</v>
      </c>
      <c r="Y8" s="184">
        <v>210</v>
      </c>
      <c r="Z8" s="184">
        <v>433946</v>
      </c>
      <c r="AA8" s="184">
        <f t="shared" si="0"/>
        <v>8825445.1999999993</v>
      </c>
    </row>
    <row r="9" spans="1:27" ht="17.25" x14ac:dyDescent="0.3">
      <c r="A9" s="180" t="s">
        <v>83</v>
      </c>
      <c r="B9" s="433" t="s">
        <v>84</v>
      </c>
      <c r="C9" s="434"/>
      <c r="D9" s="435"/>
      <c r="E9" s="181" t="s">
        <v>73</v>
      </c>
      <c r="F9" s="182">
        <v>3250</v>
      </c>
      <c r="G9" s="182">
        <v>53</v>
      </c>
      <c r="H9" s="182">
        <f>F9*G13</f>
        <v>2720250</v>
      </c>
      <c r="I9" s="182"/>
      <c r="J9" s="184">
        <f>2752954+42720</f>
        <v>2795674</v>
      </c>
      <c r="K9" s="184"/>
      <c r="L9" s="184">
        <f>F9*K10</f>
        <v>919750</v>
      </c>
      <c r="M9" s="184">
        <v>24</v>
      </c>
      <c r="N9" s="184">
        <f>1175908+21360+40000</f>
        <v>1237268</v>
      </c>
      <c r="O9" s="184"/>
      <c r="P9" s="184">
        <f>F9*O10</f>
        <v>916500</v>
      </c>
      <c r="Q9" s="184">
        <v>30</v>
      </c>
      <c r="R9" s="184">
        <f>1164522+10680</f>
        <v>1175202</v>
      </c>
      <c r="S9" s="184"/>
      <c r="T9" s="184">
        <f>F9*S7</f>
        <v>0</v>
      </c>
      <c r="U9" s="184"/>
      <c r="V9" s="184">
        <v>501163</v>
      </c>
      <c r="W9" s="184"/>
      <c r="X9" s="184">
        <f>F9*W13</f>
        <v>295750</v>
      </c>
      <c r="Y9" s="184">
        <v>250</v>
      </c>
      <c r="Z9" s="184">
        <f>812228+10680+30000</f>
        <v>852908</v>
      </c>
      <c r="AA9" s="184">
        <f t="shared" si="0"/>
        <v>6562215</v>
      </c>
    </row>
    <row r="10" spans="1:27" ht="17.25" x14ac:dyDescent="0.3">
      <c r="A10" s="185" t="s">
        <v>85</v>
      </c>
      <c r="B10" s="433" t="s">
        <v>86</v>
      </c>
      <c r="C10" s="434"/>
      <c r="D10" s="435"/>
      <c r="E10" s="181" t="s">
        <v>73</v>
      </c>
      <c r="F10" s="182">
        <v>1257</v>
      </c>
      <c r="G10" s="182">
        <v>48</v>
      </c>
      <c r="H10" s="182">
        <f>F10*G13</f>
        <v>1052109</v>
      </c>
      <c r="I10" s="182"/>
      <c r="J10" s="184"/>
      <c r="K10" s="184">
        <f>SUM(K5:K9)</f>
        <v>283</v>
      </c>
      <c r="L10" s="184">
        <f>F10*K10</f>
        <v>355731</v>
      </c>
      <c r="M10" s="184"/>
      <c r="N10" s="184"/>
      <c r="O10" s="184">
        <f>SUM(O5:O9)</f>
        <v>282</v>
      </c>
      <c r="P10" s="184">
        <f>F10*O10</f>
        <v>354474</v>
      </c>
      <c r="Q10" s="184"/>
      <c r="R10" s="184"/>
      <c r="S10" s="184"/>
      <c r="T10" s="184">
        <f>F10*S14</f>
        <v>38967</v>
      </c>
      <c r="U10" s="184"/>
      <c r="V10" s="184"/>
      <c r="W10" s="184">
        <f>SUM(W5:W9)</f>
        <v>65</v>
      </c>
      <c r="X10" s="184">
        <f>F10*W13</f>
        <v>114387</v>
      </c>
      <c r="Y10" s="184">
        <v>320</v>
      </c>
      <c r="Z10" s="184"/>
      <c r="AA10" s="184">
        <f t="shared" si="0"/>
        <v>0</v>
      </c>
    </row>
    <row r="11" spans="1:27" ht="24" customHeight="1" x14ac:dyDescent="0.3">
      <c r="A11" s="186" t="s">
        <v>87</v>
      </c>
      <c r="B11" s="436" t="s">
        <v>88</v>
      </c>
      <c r="C11" s="437"/>
      <c r="D11" s="438"/>
      <c r="E11" s="187" t="s">
        <v>73</v>
      </c>
      <c r="F11" s="188">
        <v>3200</v>
      </c>
      <c r="G11" s="188">
        <f>SUM(G5:G10)</f>
        <v>753</v>
      </c>
      <c r="H11" s="188">
        <f>F11*G13</f>
        <v>2678400</v>
      </c>
      <c r="I11" s="188"/>
      <c r="J11" s="193">
        <v>841140</v>
      </c>
      <c r="K11" s="193"/>
      <c r="L11" s="193">
        <f>F11*K10</f>
        <v>905600</v>
      </c>
      <c r="M11" s="193">
        <v>30</v>
      </c>
      <c r="N11" s="193">
        <v>550037</v>
      </c>
      <c r="O11" s="193"/>
      <c r="P11" s="193">
        <f>F11*O10</f>
        <v>902400</v>
      </c>
      <c r="Q11" s="193">
        <v>33</v>
      </c>
      <c r="R11" s="193">
        <v>597051</v>
      </c>
      <c r="S11" s="193"/>
      <c r="T11" s="193">
        <f>F11*S14</f>
        <v>99200</v>
      </c>
      <c r="U11" s="193"/>
      <c r="V11" s="193">
        <v>85878</v>
      </c>
      <c r="W11" s="193">
        <v>3</v>
      </c>
      <c r="X11" s="193">
        <f>W7*F11</f>
        <v>0</v>
      </c>
      <c r="Y11" s="193"/>
      <c r="Z11" s="184">
        <v>344643</v>
      </c>
      <c r="AA11" s="184">
        <f t="shared" si="0"/>
        <v>2418749</v>
      </c>
    </row>
    <row r="12" spans="1:27" ht="17.25" x14ac:dyDescent="0.3">
      <c r="A12" s="185" t="s">
        <v>89</v>
      </c>
      <c r="B12" s="439" t="s">
        <v>95</v>
      </c>
      <c r="C12" s="439"/>
      <c r="D12" s="439"/>
      <c r="E12" s="187" t="s">
        <v>73</v>
      </c>
      <c r="F12" s="182"/>
      <c r="G12" s="182">
        <v>84</v>
      </c>
      <c r="H12" s="182">
        <f>F12*G8</f>
        <v>0</v>
      </c>
      <c r="I12" s="182"/>
      <c r="J12" s="184"/>
      <c r="K12" s="184"/>
      <c r="L12" s="184">
        <f>F12*K7</f>
        <v>0</v>
      </c>
      <c r="M12" s="184"/>
      <c r="N12" s="184"/>
      <c r="O12" s="184"/>
      <c r="P12" s="184">
        <f>F12*O7</f>
        <v>0</v>
      </c>
      <c r="Q12" s="184"/>
      <c r="R12" s="184"/>
      <c r="S12" s="184">
        <v>3</v>
      </c>
      <c r="T12" s="184">
        <f>S7*F12</f>
        <v>0</v>
      </c>
      <c r="U12" s="184"/>
      <c r="V12" s="184"/>
      <c r="W12" s="184">
        <v>23</v>
      </c>
      <c r="X12" s="184"/>
      <c r="Y12" s="184"/>
      <c r="Z12" s="184"/>
      <c r="AA12" s="184">
        <f t="shared" si="0"/>
        <v>0</v>
      </c>
    </row>
    <row r="13" spans="1:27" ht="17.25" x14ac:dyDescent="0.3">
      <c r="A13" s="180" t="s">
        <v>91</v>
      </c>
      <c r="B13" s="411" t="s">
        <v>96</v>
      </c>
      <c r="C13" s="412"/>
      <c r="D13" s="413"/>
      <c r="E13" s="187" t="s">
        <v>73</v>
      </c>
      <c r="F13" s="182"/>
      <c r="G13" s="182">
        <f>G11+G12</f>
        <v>837</v>
      </c>
      <c r="H13" s="182"/>
      <c r="I13" s="182"/>
      <c r="J13" s="184"/>
      <c r="K13" s="184"/>
      <c r="L13" s="184"/>
      <c r="M13" s="184"/>
      <c r="N13" s="184"/>
      <c r="O13" s="184"/>
      <c r="P13" s="184"/>
      <c r="Q13" s="184"/>
      <c r="R13" s="184"/>
      <c r="S13" s="184">
        <f>S10+S11+S12</f>
        <v>3</v>
      </c>
      <c r="T13" s="184"/>
      <c r="U13" s="184"/>
      <c r="V13" s="184"/>
      <c r="W13" s="184">
        <f>W10+W11+W12</f>
        <v>91</v>
      </c>
      <c r="X13" s="184"/>
      <c r="Y13" s="184"/>
      <c r="Z13" s="196"/>
      <c r="AA13" s="184">
        <f>J13+N13+R13+V13</f>
        <v>0</v>
      </c>
    </row>
    <row r="14" spans="1:27" ht="30.75" customHeight="1" x14ac:dyDescent="0.3">
      <c r="A14" s="180" t="s">
        <v>93</v>
      </c>
      <c r="B14" s="427" t="s">
        <v>320</v>
      </c>
      <c r="C14" s="428"/>
      <c r="D14" s="429"/>
      <c r="E14" s="187" t="s">
        <v>73</v>
      </c>
      <c r="F14" s="189"/>
      <c r="G14" s="189"/>
      <c r="H14" s="189"/>
      <c r="I14" s="189"/>
      <c r="J14" s="190"/>
      <c r="K14" s="197"/>
      <c r="L14" s="197"/>
      <c r="M14" s="197"/>
      <c r="N14" s="190"/>
      <c r="O14" s="197"/>
      <c r="P14" s="197"/>
      <c r="Q14" s="197"/>
      <c r="R14" s="190"/>
      <c r="S14" s="208">
        <f>S5+S6+S13</f>
        <v>31</v>
      </c>
      <c r="T14" s="197"/>
      <c r="U14" s="197"/>
      <c r="V14" s="190">
        <v>95000</v>
      </c>
      <c r="W14" s="197"/>
      <c r="X14" s="197"/>
      <c r="Y14" s="197"/>
      <c r="Z14" s="190"/>
      <c r="AA14" s="184">
        <f t="shared" si="0"/>
        <v>95000</v>
      </c>
    </row>
    <row r="15" spans="1:27" ht="17.25" x14ac:dyDescent="0.3">
      <c r="A15" s="191" t="s">
        <v>99</v>
      </c>
      <c r="B15" s="430" t="s">
        <v>283</v>
      </c>
      <c r="C15" s="431"/>
      <c r="D15" s="432"/>
      <c r="E15" s="187" t="s">
        <v>73</v>
      </c>
      <c r="F15" s="192"/>
      <c r="G15" s="188"/>
      <c r="H15" s="188"/>
      <c r="I15" s="188"/>
      <c r="J15" s="193"/>
      <c r="K15" s="193"/>
      <c r="L15" s="193"/>
      <c r="M15" s="193"/>
      <c r="N15" s="193"/>
      <c r="O15" s="193"/>
      <c r="P15" s="193"/>
      <c r="Q15" s="193"/>
      <c r="R15" s="193"/>
      <c r="S15" s="243"/>
      <c r="T15" s="193"/>
      <c r="U15" s="193"/>
      <c r="V15" s="193"/>
      <c r="W15" s="193"/>
      <c r="X15" s="193"/>
      <c r="Y15" s="193"/>
      <c r="Z15" s="184"/>
      <c r="AA15" s="184">
        <f t="shared" si="0"/>
        <v>0</v>
      </c>
    </row>
    <row r="16" spans="1:27" ht="17.25" x14ac:dyDescent="0.3">
      <c r="A16" s="191" t="s">
        <v>100</v>
      </c>
      <c r="B16" s="427" t="s">
        <v>285</v>
      </c>
      <c r="C16" s="428"/>
      <c r="D16" s="429"/>
      <c r="E16" s="187"/>
      <c r="F16" s="192"/>
      <c r="G16" s="188"/>
      <c r="H16" s="188"/>
      <c r="I16" s="188"/>
      <c r="J16" s="193">
        <v>4822448</v>
      </c>
      <c r="K16" s="193"/>
      <c r="L16" s="193"/>
      <c r="M16" s="193"/>
      <c r="N16" s="193">
        <v>832235</v>
      </c>
      <c r="O16" s="193"/>
      <c r="P16" s="193"/>
      <c r="Q16" s="193"/>
      <c r="R16" s="193">
        <v>622579</v>
      </c>
      <c r="S16" s="193"/>
      <c r="T16" s="193"/>
      <c r="U16" s="193"/>
      <c r="V16" s="193"/>
      <c r="W16" s="193"/>
      <c r="X16" s="193"/>
      <c r="Y16" s="193"/>
      <c r="Z16" s="184">
        <v>279926</v>
      </c>
      <c r="AA16" s="184">
        <f t="shared" si="0"/>
        <v>6557188</v>
      </c>
    </row>
    <row r="17" spans="1:27" ht="17.25" x14ac:dyDescent="0.3">
      <c r="A17" s="180" t="s">
        <v>101</v>
      </c>
      <c r="B17" s="411" t="s">
        <v>90</v>
      </c>
      <c r="C17" s="412"/>
      <c r="D17" s="413"/>
      <c r="E17" s="187" t="s">
        <v>73</v>
      </c>
      <c r="F17" s="189"/>
      <c r="G17" s="182"/>
      <c r="H17" s="182"/>
      <c r="I17" s="182"/>
      <c r="J17" s="184">
        <v>1348690</v>
      </c>
      <c r="K17" s="184"/>
      <c r="L17" s="184"/>
      <c r="M17" s="184"/>
      <c r="N17" s="184">
        <v>11400</v>
      </c>
      <c r="O17" s="184"/>
      <c r="P17" s="184"/>
      <c r="Q17" s="184"/>
      <c r="R17" s="184">
        <v>3050245</v>
      </c>
      <c r="S17" s="184"/>
      <c r="T17" s="184"/>
      <c r="U17" s="184"/>
      <c r="V17" s="184">
        <v>123682</v>
      </c>
      <c r="W17" s="184"/>
      <c r="X17" s="184"/>
      <c r="Y17" s="184"/>
      <c r="Z17" s="184">
        <v>1179873</v>
      </c>
      <c r="AA17" s="184">
        <f t="shared" si="0"/>
        <v>5713890</v>
      </c>
    </row>
    <row r="18" spans="1:27" ht="17.25" x14ac:dyDescent="0.3">
      <c r="A18" s="191" t="s">
        <v>220</v>
      </c>
      <c r="B18" s="411" t="s">
        <v>102</v>
      </c>
      <c r="C18" s="412"/>
      <c r="D18" s="413"/>
      <c r="E18" s="187" t="s">
        <v>73</v>
      </c>
      <c r="F18" s="192"/>
      <c r="G18" s="188"/>
      <c r="H18" s="188"/>
      <c r="I18" s="188"/>
      <c r="J18" s="193">
        <v>8186570</v>
      </c>
      <c r="K18" s="193"/>
      <c r="L18" s="193"/>
      <c r="M18" s="193"/>
      <c r="N18" s="193"/>
      <c r="O18" s="193"/>
      <c r="P18" s="193"/>
      <c r="Q18" s="193"/>
      <c r="R18" s="193">
        <f>5603971</f>
        <v>5603971</v>
      </c>
      <c r="S18" s="193"/>
      <c r="T18" s="193"/>
      <c r="U18" s="193"/>
      <c r="V18" s="193">
        <v>3687148</v>
      </c>
      <c r="W18" s="193"/>
      <c r="X18" s="193"/>
      <c r="Y18" s="193"/>
      <c r="Z18" s="184">
        <v>3147594</v>
      </c>
      <c r="AA18" s="184">
        <f t="shared" si="0"/>
        <v>20625283</v>
      </c>
    </row>
    <row r="19" spans="1:27" ht="17.25" x14ac:dyDescent="0.3">
      <c r="A19" s="191" t="s">
        <v>284</v>
      </c>
      <c r="B19" s="411" t="s">
        <v>287</v>
      </c>
      <c r="C19" s="412"/>
      <c r="D19" s="413"/>
      <c r="E19" s="187" t="s">
        <v>73</v>
      </c>
      <c r="F19" s="192"/>
      <c r="G19" s="188"/>
      <c r="H19" s="188"/>
      <c r="I19" s="188"/>
      <c r="J19" s="193">
        <v>399100</v>
      </c>
      <c r="K19" s="193"/>
      <c r="L19" s="193"/>
      <c r="M19" s="193"/>
      <c r="N19" s="193">
        <v>348600</v>
      </c>
      <c r="O19" s="193"/>
      <c r="P19" s="193"/>
      <c r="Q19" s="193"/>
      <c r="R19" s="193">
        <v>363500</v>
      </c>
      <c r="S19" s="193"/>
      <c r="T19" s="193"/>
      <c r="U19" s="193"/>
      <c r="V19" s="193"/>
      <c r="W19" s="193"/>
      <c r="X19" s="193"/>
      <c r="Y19" s="193"/>
      <c r="Z19" s="184">
        <v>132400</v>
      </c>
      <c r="AA19" s="184">
        <f t="shared" si="0"/>
        <v>1243600</v>
      </c>
    </row>
    <row r="20" spans="1:27" ht="17.25" x14ac:dyDescent="0.3">
      <c r="A20" s="180" t="s">
        <v>286</v>
      </c>
      <c r="B20" s="411" t="s">
        <v>221</v>
      </c>
      <c r="C20" s="412"/>
      <c r="D20" s="413"/>
      <c r="E20" s="187" t="s">
        <v>73</v>
      </c>
      <c r="F20" s="192"/>
      <c r="G20" s="188"/>
      <c r="H20" s="188"/>
      <c r="I20" s="188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84"/>
      <c r="AA20" s="184">
        <f t="shared" si="0"/>
        <v>0</v>
      </c>
    </row>
    <row r="21" spans="1:27" ht="17.25" x14ac:dyDescent="0.3">
      <c r="A21" s="445" t="s">
        <v>329</v>
      </c>
      <c r="B21" s="446"/>
      <c r="C21" s="446"/>
      <c r="D21" s="447"/>
      <c r="E21" s="198"/>
      <c r="F21" s="198"/>
      <c r="G21" s="198"/>
      <c r="H21" s="198"/>
      <c r="I21" s="198"/>
      <c r="J21" s="249">
        <f>SUM(J5:J20)</f>
        <v>23079047</v>
      </c>
      <c r="K21" s="249"/>
      <c r="L21" s="249"/>
      <c r="M21" s="249"/>
      <c r="N21" s="249">
        <f>SUM(N5:N20)</f>
        <v>4262220</v>
      </c>
      <c r="O21" s="249"/>
      <c r="P21" s="249"/>
      <c r="Q21" s="249"/>
      <c r="R21" s="249">
        <f>SUM(R5:R20)</f>
        <v>17542166</v>
      </c>
      <c r="S21" s="249"/>
      <c r="T21" s="249"/>
      <c r="U21" s="249"/>
      <c r="V21" s="249">
        <f>SUM(V5:V20)</f>
        <v>7505247.2000000002</v>
      </c>
      <c r="W21" s="249"/>
      <c r="X21" s="249"/>
      <c r="Y21" s="249"/>
      <c r="Z21" s="249">
        <f>SUM(Z5:Z20)</f>
        <v>7401990</v>
      </c>
      <c r="AA21" s="249">
        <f>SUM(AA5:AA20)</f>
        <v>59790670.200000003</v>
      </c>
    </row>
    <row r="22" spans="1:27" ht="17.25" x14ac:dyDescent="0.3">
      <c r="A22" s="448" t="s">
        <v>113</v>
      </c>
      <c r="B22" s="448"/>
      <c r="C22" s="448"/>
      <c r="D22" s="448"/>
      <c r="E22" s="448"/>
      <c r="F22" s="448"/>
      <c r="G22" s="448"/>
      <c r="H22" s="448"/>
      <c r="I22" s="448"/>
      <c r="J22" s="199">
        <f>(J21-J16)/G13</f>
        <v>21811.946236559139</v>
      </c>
      <c r="K22" s="184"/>
      <c r="L22" s="184"/>
      <c r="M22" s="184"/>
      <c r="N22" s="184">
        <f>(N21-N16)/K10</f>
        <v>12120.088339222615</v>
      </c>
      <c r="O22" s="184"/>
      <c r="P22" s="184"/>
      <c r="Q22" s="184"/>
      <c r="R22" s="184">
        <f>(R21-R16)/O10</f>
        <v>59998.535460992905</v>
      </c>
      <c r="S22" s="184"/>
      <c r="T22" s="184"/>
      <c r="U22" s="184"/>
      <c r="V22" s="184">
        <f>V21/S13</f>
        <v>2501749.0666666669</v>
      </c>
      <c r="W22" s="184"/>
      <c r="X22" s="184"/>
      <c r="Y22" s="184"/>
      <c r="Z22" s="184">
        <f>(Z21-Z16)/W13</f>
        <v>78264.439560439554</v>
      </c>
      <c r="AA22" s="184"/>
    </row>
    <row r="23" spans="1:27" x14ac:dyDescent="0.25">
      <c r="A23" s="54"/>
      <c r="B23" s="54"/>
      <c r="C23" s="54"/>
      <c r="D23" s="54"/>
      <c r="E23" s="54"/>
      <c r="F23" s="54"/>
      <c r="G23" s="54"/>
      <c r="H23" s="54"/>
      <c r="I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</row>
    <row r="24" spans="1:27" x14ac:dyDescent="0.25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67"/>
      <c r="M24" s="67" t="s">
        <v>339</v>
      </c>
      <c r="N24" s="67"/>
      <c r="O24" s="67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</row>
    <row r="25" spans="1:27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9"/>
      <c r="M25" s="9"/>
      <c r="N25" s="67"/>
      <c r="O25" s="67"/>
      <c r="Q25" s="54"/>
      <c r="R25" s="54"/>
      <c r="S25" s="54"/>
      <c r="T25" s="54"/>
      <c r="U25" s="54"/>
      <c r="V25" s="54"/>
      <c r="W25" s="54"/>
      <c r="X25" s="54"/>
      <c r="Y25" s="54"/>
      <c r="Z25" s="54"/>
    </row>
    <row r="26" spans="1:27" ht="33" x14ac:dyDescent="0.25">
      <c r="A26" s="444" t="s">
        <v>315</v>
      </c>
      <c r="B26" s="444"/>
      <c r="C26" s="444"/>
      <c r="D26" s="444"/>
      <c r="E26" s="444"/>
      <c r="F26" s="444"/>
      <c r="G26" s="444"/>
      <c r="H26" s="444"/>
      <c r="I26" s="444"/>
      <c r="J26" s="201" t="s">
        <v>185</v>
      </c>
      <c r="K26" s="201" t="s">
        <v>186</v>
      </c>
      <c r="L26" s="202" t="s">
        <v>187</v>
      </c>
      <c r="M26" s="201" t="s">
        <v>188</v>
      </c>
      <c r="N26" s="201" t="s">
        <v>189</v>
      </c>
      <c r="O26" s="201" t="s">
        <v>183</v>
      </c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</row>
    <row r="27" spans="1:27" ht="21.75" customHeight="1" x14ac:dyDescent="0.25">
      <c r="A27" s="444" t="s">
        <v>276</v>
      </c>
      <c r="B27" s="444"/>
      <c r="C27" s="444"/>
      <c r="D27" s="444"/>
      <c r="E27" s="444"/>
      <c r="F27" s="444"/>
      <c r="G27" s="444"/>
      <c r="H27" s="444"/>
      <c r="I27" s="444"/>
      <c r="J27" s="444"/>
      <c r="K27" s="444"/>
      <c r="L27" s="444"/>
      <c r="M27" s="444"/>
      <c r="N27" s="444"/>
      <c r="O27" s="44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</row>
    <row r="28" spans="1:27" ht="16.5" x14ac:dyDescent="0.25">
      <c r="A28" s="444" t="s">
        <v>170</v>
      </c>
      <c r="B28" s="444"/>
      <c r="C28" s="444"/>
      <c r="D28" s="444"/>
      <c r="E28" s="444"/>
      <c r="F28" s="444"/>
      <c r="G28" s="444"/>
      <c r="H28" s="444"/>
      <c r="I28" s="444"/>
      <c r="J28" s="205">
        <f>J30+J32</f>
        <v>1406286.02</v>
      </c>
      <c r="K28" s="205">
        <f>K29+K31+K32</f>
        <v>665743.41</v>
      </c>
      <c r="L28" s="205">
        <f>L29+L31+L32</f>
        <v>764410.12000000011</v>
      </c>
      <c r="M28" s="205">
        <f t="shared" ref="M28:N28" si="1">M29+M31+M32</f>
        <v>200123.35</v>
      </c>
      <c r="N28" s="205">
        <f t="shared" si="1"/>
        <v>332500.51</v>
      </c>
      <c r="O28" s="205">
        <f>SUM(J28:N28)</f>
        <v>3369063.41</v>
      </c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</row>
    <row r="29" spans="1:27" ht="15" customHeight="1" x14ac:dyDescent="0.25">
      <c r="A29" s="440" t="s">
        <v>259</v>
      </c>
      <c r="B29" s="441"/>
      <c r="C29" s="441"/>
      <c r="D29" s="441"/>
      <c r="E29" s="441"/>
      <c r="F29" s="441"/>
      <c r="G29" s="441"/>
      <c r="H29" s="441"/>
      <c r="I29" s="441"/>
      <c r="J29" s="173">
        <f>J13</f>
        <v>0</v>
      </c>
      <c r="K29" s="173">
        <f>N13</f>
        <v>0</v>
      </c>
      <c r="L29" s="173"/>
      <c r="M29" s="173">
        <f>V13</f>
        <v>0</v>
      </c>
      <c r="N29" s="173">
        <f>Z13</f>
        <v>0</v>
      </c>
      <c r="O29" s="173">
        <f t="shared" ref="O29:O44" si="2">SUM(J29:N29)</f>
        <v>0</v>
      </c>
      <c r="Q29" s="54"/>
      <c r="R29" s="54"/>
      <c r="S29" s="54"/>
      <c r="T29" s="54"/>
      <c r="U29" s="54"/>
      <c r="V29" s="54"/>
      <c r="W29" s="54"/>
      <c r="X29" s="54"/>
      <c r="Y29" s="54"/>
      <c r="Z29" s="54"/>
    </row>
    <row r="30" spans="1:27" ht="16.5" x14ac:dyDescent="0.25">
      <c r="A30" s="442" t="s">
        <v>260</v>
      </c>
      <c r="B30" s="442"/>
      <c r="C30" s="442"/>
      <c r="D30" s="442"/>
      <c r="E30" s="442"/>
      <c r="F30" s="442"/>
      <c r="G30" s="442"/>
      <c r="H30" s="442"/>
      <c r="I30" s="442"/>
      <c r="J30" s="173">
        <f>J31</f>
        <v>286409.68</v>
      </c>
      <c r="K30" s="173">
        <f>K31</f>
        <v>204077.33</v>
      </c>
      <c r="L30" s="173">
        <f>L31</f>
        <v>218071.82</v>
      </c>
      <c r="M30" s="173">
        <f t="shared" ref="M30:N30" si="3">M31</f>
        <v>22162.06</v>
      </c>
      <c r="N30" s="173">
        <f t="shared" si="3"/>
        <v>83320.289999999994</v>
      </c>
      <c r="O30" s="173">
        <f t="shared" si="2"/>
        <v>814041.18000000017</v>
      </c>
      <c r="P30" s="116"/>
      <c r="Q30" s="54"/>
      <c r="R30" s="116"/>
      <c r="S30" s="54"/>
      <c r="T30" s="54"/>
      <c r="U30" s="54"/>
      <c r="V30" s="54"/>
      <c r="W30" s="54"/>
      <c r="X30" s="54"/>
      <c r="Y30" s="54"/>
      <c r="Z30" s="54"/>
    </row>
    <row r="31" spans="1:27" ht="48" customHeight="1" x14ac:dyDescent="0.25">
      <c r="A31" s="443" t="s">
        <v>261</v>
      </c>
      <c r="B31" s="443"/>
      <c r="C31" s="443"/>
      <c r="D31" s="443"/>
      <c r="E31" s="443"/>
      <c r="F31" s="443"/>
      <c r="G31" s="443"/>
      <c r="H31" s="443"/>
      <c r="I31" s="443"/>
      <c r="J31" s="173">
        <f>286409.68</f>
        <v>286409.68</v>
      </c>
      <c r="K31" s="173">
        <f>204077.33</f>
        <v>204077.33</v>
      </c>
      <c r="L31" s="173">
        <f>218071.82</f>
        <v>218071.82</v>
      </c>
      <c r="M31" s="173">
        <v>22162.06</v>
      </c>
      <c r="N31" s="173">
        <v>83320.289999999994</v>
      </c>
      <c r="O31" s="173">
        <f t="shared" si="2"/>
        <v>814041.18000000017</v>
      </c>
      <c r="P31" s="116"/>
      <c r="Q31" s="54"/>
      <c r="R31" s="54"/>
      <c r="S31" s="54"/>
      <c r="T31" s="54"/>
      <c r="U31" s="116"/>
      <c r="V31" s="54"/>
      <c r="W31" s="116"/>
      <c r="X31" s="54"/>
      <c r="Y31" s="54"/>
      <c r="Z31" s="54"/>
    </row>
    <row r="32" spans="1:27" ht="16.5" x14ac:dyDescent="0.25">
      <c r="A32" s="442" t="s">
        <v>262</v>
      </c>
      <c r="B32" s="442"/>
      <c r="C32" s="442"/>
      <c r="D32" s="442"/>
      <c r="E32" s="442"/>
      <c r="F32" s="442"/>
      <c r="G32" s="442"/>
      <c r="H32" s="442"/>
      <c r="I32" s="442"/>
      <c r="J32" s="173">
        <f>1119876.34</f>
        <v>1119876.3400000001</v>
      </c>
      <c r="K32" s="173">
        <f>461666.08</f>
        <v>461666.08</v>
      </c>
      <c r="L32" s="173">
        <f>546338.3</f>
        <v>546338.30000000005</v>
      </c>
      <c r="M32" s="173">
        <f>177961.29</f>
        <v>177961.29</v>
      </c>
      <c r="N32" s="173">
        <f>249180.22</f>
        <v>249180.22</v>
      </c>
      <c r="O32" s="173">
        <f t="shared" si="2"/>
        <v>2555022.2300000004</v>
      </c>
      <c r="P32" s="31"/>
      <c r="Q32" s="54"/>
      <c r="R32" s="116"/>
      <c r="S32" s="54"/>
      <c r="T32" s="54"/>
      <c r="U32" s="88"/>
      <c r="V32" s="54"/>
      <c r="W32" s="54"/>
      <c r="X32" s="54"/>
      <c r="Y32" s="54"/>
      <c r="Z32" s="54"/>
    </row>
    <row r="33" spans="1:26" ht="16.5" x14ac:dyDescent="0.25">
      <c r="A33" s="444" t="s">
        <v>177</v>
      </c>
      <c r="B33" s="444"/>
      <c r="C33" s="444"/>
      <c r="D33" s="444"/>
      <c r="E33" s="444"/>
      <c r="F33" s="444"/>
      <c r="G33" s="444"/>
      <c r="H33" s="444"/>
      <c r="I33" s="444"/>
      <c r="J33" s="205">
        <f>J34+J35+J39+J40+J41+J43</f>
        <v>4677021.75</v>
      </c>
      <c r="K33" s="205">
        <f>K34+K35+K39+K40+K41+K43</f>
        <v>469601.55</v>
      </c>
      <c r="L33" s="205">
        <f t="shared" ref="L33:N33" si="4">L34+L35+L39+L40+L41+L43</f>
        <v>5278770.4499999993</v>
      </c>
      <c r="M33" s="205">
        <f t="shared" si="4"/>
        <v>1739341.3699999999</v>
      </c>
      <c r="N33" s="205">
        <f t="shared" si="4"/>
        <v>1354726.3900000001</v>
      </c>
      <c r="O33" s="205">
        <f t="shared" si="2"/>
        <v>13519461.51</v>
      </c>
      <c r="P33" s="116"/>
      <c r="Q33" s="54"/>
      <c r="R33" s="54"/>
      <c r="S33" s="54"/>
      <c r="T33" s="54"/>
      <c r="U33" s="116"/>
      <c r="V33" s="54"/>
      <c r="W33" s="116"/>
      <c r="X33" s="54"/>
      <c r="Y33" s="54"/>
      <c r="Z33" s="54"/>
    </row>
    <row r="34" spans="1:26" ht="35.25" customHeight="1" x14ac:dyDescent="0.25">
      <c r="A34" s="443" t="s">
        <v>264</v>
      </c>
      <c r="B34" s="443"/>
      <c r="C34" s="443"/>
      <c r="D34" s="443"/>
      <c r="E34" s="443"/>
      <c r="F34" s="443"/>
      <c r="G34" s="443"/>
      <c r="H34" s="443"/>
      <c r="I34" s="443"/>
      <c r="J34" s="173"/>
      <c r="K34" s="173"/>
      <c r="L34" s="173"/>
      <c r="M34" s="173"/>
      <c r="N34" s="173"/>
      <c r="O34" s="173">
        <f t="shared" si="2"/>
        <v>0</v>
      </c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</row>
    <row r="35" spans="1:26" ht="16.5" x14ac:dyDescent="0.25">
      <c r="A35" s="442" t="s">
        <v>265</v>
      </c>
      <c r="B35" s="442"/>
      <c r="C35" s="442"/>
      <c r="D35" s="442"/>
      <c r="E35" s="442"/>
      <c r="F35" s="442"/>
      <c r="G35" s="442"/>
      <c r="H35" s="442"/>
      <c r="I35" s="442"/>
      <c r="J35" s="173">
        <f>J36+J37+J38</f>
        <v>1925010.2204301073</v>
      </c>
      <c r="K35" s="173">
        <f t="shared" ref="K35:N35" si="5">K36+K37+K38</f>
        <v>0</v>
      </c>
      <c r="L35" s="173">
        <f t="shared" si="5"/>
        <v>1456385.3744680851</v>
      </c>
      <c r="M35" s="173">
        <f t="shared" si="5"/>
        <v>546722.75483870972</v>
      </c>
      <c r="N35" s="173">
        <f t="shared" si="5"/>
        <v>613143.7164835165</v>
      </c>
      <c r="O35" s="173">
        <f t="shared" si="2"/>
        <v>4541262.0662204186</v>
      </c>
      <c r="P35" s="116"/>
      <c r="Q35" s="116"/>
      <c r="R35" s="54"/>
      <c r="S35" s="54"/>
      <c r="T35" s="54"/>
      <c r="U35" s="54"/>
      <c r="V35" s="54"/>
      <c r="W35" s="54"/>
      <c r="X35" s="54"/>
      <c r="Y35" s="54"/>
      <c r="Z35" s="54"/>
    </row>
    <row r="36" spans="1:26" ht="16.5" x14ac:dyDescent="0.25">
      <c r="A36" s="442" t="s">
        <v>172</v>
      </c>
      <c r="B36" s="442"/>
      <c r="C36" s="442"/>
      <c r="D36" s="442"/>
      <c r="E36" s="442"/>
      <c r="F36" s="442"/>
      <c r="G36" s="442"/>
      <c r="H36" s="442"/>
      <c r="I36" s="442"/>
      <c r="J36" s="173">
        <f>1222534/G13*G5*90%</f>
        <v>374647.51612903224</v>
      </c>
      <c r="K36" s="173"/>
      <c r="L36" s="173">
        <f>2593253/O10*O5*90%</f>
        <v>852462.95425531908</v>
      </c>
      <c r="M36" s="173">
        <f>240802/S14*S5*90%</f>
        <v>55928.206451612903</v>
      </c>
      <c r="N36" s="173">
        <f>592744/W13*W5*90%</f>
        <v>128970.67252747255</v>
      </c>
      <c r="O36" s="173">
        <f t="shared" si="2"/>
        <v>1412009.3493634369</v>
      </c>
      <c r="P36" s="116"/>
      <c r="Q36" s="116"/>
      <c r="R36" s="54"/>
      <c r="S36" s="54"/>
      <c r="T36" s="54"/>
      <c r="U36" s="116"/>
      <c r="V36" s="116"/>
      <c r="W36" s="116"/>
      <c r="X36" s="54"/>
      <c r="Y36" s="54"/>
      <c r="Z36" s="54"/>
    </row>
    <row r="37" spans="1:26" ht="16.5" x14ac:dyDescent="0.25">
      <c r="A37" s="442" t="s">
        <v>173</v>
      </c>
      <c r="B37" s="442"/>
      <c r="C37" s="442"/>
      <c r="D37" s="442"/>
      <c r="E37" s="442"/>
      <c r="F37" s="442"/>
      <c r="G37" s="442"/>
      <c r="H37" s="442"/>
      <c r="I37" s="442"/>
      <c r="J37" s="173">
        <f>6098553/G13*G5*50%</f>
        <v>1038284.1129032258</v>
      </c>
      <c r="K37" s="173"/>
      <c r="L37" s="173">
        <f>2178055/O10*O5*50%</f>
        <v>397765.36347517732</v>
      </c>
      <c r="M37" s="173">
        <f>3635537/S14*S5*50%</f>
        <v>469101.54838709679</v>
      </c>
      <c r="N37" s="173">
        <f>1982030/W13*W5*50%</f>
        <v>239586.04395604396</v>
      </c>
      <c r="O37" s="173">
        <f t="shared" si="2"/>
        <v>2144737.068721544</v>
      </c>
      <c r="P37" s="116"/>
      <c r="Q37" s="116"/>
      <c r="R37" s="116"/>
      <c r="S37" s="116"/>
      <c r="T37" s="116"/>
      <c r="U37" s="116"/>
      <c r="V37" s="116"/>
      <c r="W37" s="116"/>
      <c r="X37" s="54"/>
      <c r="Y37" s="54"/>
      <c r="Z37" s="54"/>
    </row>
    <row r="38" spans="1:26" ht="16.5" x14ac:dyDescent="0.25">
      <c r="A38" s="442" t="s">
        <v>174</v>
      </c>
      <c r="B38" s="442"/>
      <c r="C38" s="442"/>
      <c r="D38" s="442"/>
      <c r="E38" s="442"/>
      <c r="F38" s="442"/>
      <c r="G38" s="442"/>
      <c r="H38" s="442"/>
      <c r="I38" s="442"/>
      <c r="J38" s="173">
        <f>(358768+450249/G13*G5)</f>
        <v>512078.59139784949</v>
      </c>
      <c r="K38" s="173"/>
      <c r="L38" s="173">
        <f>(250303+314127)/O10*O5</f>
        <v>206157.05673758866</v>
      </c>
      <c r="M38" s="173">
        <f>21693</f>
        <v>21693</v>
      </c>
      <c r="N38" s="173">
        <f>108465+136122</f>
        <v>244587</v>
      </c>
      <c r="O38" s="173">
        <f t="shared" si="2"/>
        <v>984515.6481354381</v>
      </c>
      <c r="P38" s="116"/>
      <c r="Q38" s="116"/>
      <c r="R38" s="116"/>
      <c r="S38" s="116"/>
      <c r="T38" s="116"/>
      <c r="U38" s="116"/>
      <c r="V38" s="116"/>
      <c r="W38" s="116"/>
      <c r="X38" s="54"/>
      <c r="Y38" s="54"/>
      <c r="Z38" s="54"/>
    </row>
    <row r="39" spans="1:26" ht="16.5" x14ac:dyDescent="0.25">
      <c r="A39" s="442" t="s">
        <v>266</v>
      </c>
      <c r="B39" s="442"/>
      <c r="C39" s="442"/>
      <c r="D39" s="442"/>
      <c r="E39" s="442"/>
      <c r="F39" s="442"/>
      <c r="G39" s="442"/>
      <c r="H39" s="442"/>
      <c r="I39" s="442"/>
      <c r="J39" s="173"/>
      <c r="K39" s="173"/>
      <c r="L39" s="173"/>
      <c r="M39" s="173"/>
      <c r="N39" s="173"/>
      <c r="O39" s="173">
        <f t="shared" si="2"/>
        <v>0</v>
      </c>
      <c r="P39" s="116"/>
      <c r="Q39" s="116"/>
      <c r="R39" s="116"/>
      <c r="S39" s="116"/>
      <c r="T39" s="116"/>
      <c r="U39" s="116"/>
      <c r="V39" s="116"/>
      <c r="W39" s="116"/>
      <c r="X39" s="54"/>
      <c r="Y39" s="54"/>
      <c r="Z39" s="54"/>
    </row>
    <row r="40" spans="1:26" ht="16.5" x14ac:dyDescent="0.25">
      <c r="A40" s="442" t="s">
        <v>267</v>
      </c>
      <c r="B40" s="442"/>
      <c r="C40" s="442"/>
      <c r="D40" s="442"/>
      <c r="E40" s="442"/>
      <c r="F40" s="442"/>
      <c r="G40" s="442"/>
      <c r="H40" s="442"/>
      <c r="I40" s="442"/>
      <c r="J40" s="173"/>
      <c r="K40" s="173"/>
      <c r="L40" s="173"/>
      <c r="M40" s="173">
        <v>27142.86</v>
      </c>
      <c r="N40" s="173"/>
      <c r="O40" s="173">
        <f t="shared" si="2"/>
        <v>27142.86</v>
      </c>
      <c r="P40" s="116"/>
      <c r="Q40" s="116"/>
      <c r="R40" s="116"/>
      <c r="S40" s="116"/>
      <c r="T40" s="116"/>
      <c r="U40" s="116"/>
      <c r="V40" s="116"/>
      <c r="W40" s="116"/>
      <c r="X40" s="54"/>
      <c r="Y40" s="54"/>
      <c r="Z40" s="54"/>
    </row>
    <row r="41" spans="1:26" ht="15" customHeight="1" x14ac:dyDescent="0.25">
      <c r="A41" s="443" t="s">
        <v>268</v>
      </c>
      <c r="B41" s="443"/>
      <c r="C41" s="443"/>
      <c r="D41" s="443"/>
      <c r="E41" s="443"/>
      <c r="F41" s="443"/>
      <c r="G41" s="443"/>
      <c r="H41" s="443"/>
      <c r="I41" s="443"/>
      <c r="J41" s="205">
        <f>J42</f>
        <v>475519.27</v>
      </c>
      <c r="K41" s="205">
        <f>K42</f>
        <v>14239.93</v>
      </c>
      <c r="L41" s="205">
        <f t="shared" ref="L41:N41" si="6">L42</f>
        <v>1692493.81</v>
      </c>
      <c r="M41" s="205">
        <f t="shared" si="6"/>
        <v>599426.12</v>
      </c>
      <c r="N41" s="205">
        <f t="shared" si="6"/>
        <v>104910.02</v>
      </c>
      <c r="O41" s="205">
        <f t="shared" si="2"/>
        <v>2886589.1500000004</v>
      </c>
      <c r="P41" s="116"/>
      <c r="Q41" s="116"/>
      <c r="R41" s="116"/>
      <c r="S41" s="116"/>
      <c r="T41" s="116"/>
      <c r="U41" s="116"/>
      <c r="V41" s="116"/>
      <c r="W41" s="116"/>
      <c r="X41" s="54"/>
      <c r="Y41" s="54"/>
      <c r="Z41" s="54"/>
    </row>
    <row r="42" spans="1:26" ht="30" customHeight="1" x14ac:dyDescent="0.25">
      <c r="A42" s="443" t="s">
        <v>271</v>
      </c>
      <c r="B42" s="443"/>
      <c r="C42" s="443"/>
      <c r="D42" s="443"/>
      <c r="E42" s="443"/>
      <c r="F42" s="443"/>
      <c r="G42" s="443"/>
      <c r="H42" s="443"/>
      <c r="I42" s="443"/>
      <c r="J42" s="173">
        <f>324220.36+151298.91</f>
        <v>475519.27</v>
      </c>
      <c r="K42" s="173">
        <v>14239.93</v>
      </c>
      <c r="L42" s="173">
        <f>257798.77+1434695.04</f>
        <v>1692493.81</v>
      </c>
      <c r="M42" s="173">
        <f>128421.94+471004.18</f>
        <v>599426.12</v>
      </c>
      <c r="N42" s="173">
        <v>104910.02</v>
      </c>
      <c r="O42" s="173">
        <f t="shared" si="2"/>
        <v>2886589.1500000004</v>
      </c>
      <c r="P42" s="116"/>
      <c r="Q42" s="116"/>
      <c r="R42" s="116"/>
      <c r="S42" s="116"/>
      <c r="T42" s="116"/>
      <c r="U42" s="116"/>
      <c r="V42" s="116"/>
      <c r="W42" s="116"/>
      <c r="X42" s="54"/>
      <c r="Y42" s="54"/>
      <c r="Z42" s="54"/>
    </row>
    <row r="43" spans="1:26" ht="16.5" x14ac:dyDescent="0.25">
      <c r="A43" s="442" t="s">
        <v>270</v>
      </c>
      <c r="B43" s="442"/>
      <c r="C43" s="442"/>
      <c r="D43" s="442"/>
      <c r="E43" s="442"/>
      <c r="F43" s="442"/>
      <c r="G43" s="442"/>
      <c r="H43" s="442"/>
      <c r="I43" s="442"/>
      <c r="J43" s="205">
        <f>J44</f>
        <v>2276492.2595698922</v>
      </c>
      <c r="K43" s="205">
        <f>K44</f>
        <v>455361.62</v>
      </c>
      <c r="L43" s="205">
        <f t="shared" ref="L43:N43" si="7">L44</f>
        <v>2129891.2655319148</v>
      </c>
      <c r="M43" s="205">
        <f t="shared" si="7"/>
        <v>566049.63516129018</v>
      </c>
      <c r="N43" s="205">
        <f t="shared" si="7"/>
        <v>636672.65351648361</v>
      </c>
      <c r="O43" s="205">
        <f t="shared" si="2"/>
        <v>6064467.4337795805</v>
      </c>
      <c r="P43" s="116"/>
      <c r="Q43" s="116"/>
      <c r="R43" s="116"/>
      <c r="S43" s="116"/>
      <c r="T43" s="116"/>
      <c r="U43" s="116"/>
      <c r="V43" s="116"/>
      <c r="W43" s="116"/>
      <c r="X43" s="54"/>
      <c r="Y43" s="54"/>
      <c r="Z43" s="54"/>
    </row>
    <row r="44" spans="1:26" ht="112.5" customHeight="1" x14ac:dyDescent="0.25">
      <c r="A44" s="449" t="s">
        <v>269</v>
      </c>
      <c r="B44" s="450"/>
      <c r="C44" s="450"/>
      <c r="D44" s="450"/>
      <c r="E44" s="450"/>
      <c r="F44" s="450"/>
      <c r="G44" s="450"/>
      <c r="H44" s="450"/>
      <c r="I44" s="451"/>
      <c r="J44" s="173">
        <f>17343.59+937385.77+2787541.76-J35+459231.36</f>
        <v>2276492.2595698922</v>
      </c>
      <c r="K44" s="173">
        <f>436290.95+14840.99+4229.68</f>
        <v>455361.62</v>
      </c>
      <c r="L44" s="173">
        <f>425339.6-L35+2046840.46+1114096.58</f>
        <v>2129891.2655319148</v>
      </c>
      <c r="M44" s="173">
        <f>129332.39+951522.06-M35+31917.94</f>
        <v>566049.63516129018</v>
      </c>
      <c r="N44" s="173">
        <f>760956.79+196362.81+7252.75-N35+285244.02</f>
        <v>636672.65351648361</v>
      </c>
      <c r="O44" s="173">
        <f t="shared" si="2"/>
        <v>6064467.4337795805</v>
      </c>
      <c r="P44" s="116"/>
      <c r="Q44" s="116"/>
      <c r="R44" s="116"/>
      <c r="S44" s="116"/>
      <c r="T44" s="116"/>
      <c r="U44" s="116"/>
      <c r="V44" s="116"/>
      <c r="W44" s="116"/>
      <c r="X44" s="54"/>
      <c r="Y44" s="54"/>
      <c r="Z44" s="54"/>
    </row>
    <row r="45" spans="1:26" ht="16.5" x14ac:dyDescent="0.25">
      <c r="A45" s="452" t="s">
        <v>183</v>
      </c>
      <c r="B45" s="453"/>
      <c r="C45" s="453"/>
      <c r="D45" s="453"/>
      <c r="E45" s="453"/>
      <c r="F45" s="453"/>
      <c r="G45" s="453"/>
      <c r="H45" s="453"/>
      <c r="I45" s="454"/>
      <c r="J45" s="247">
        <f>J28+J33</f>
        <v>6083307.7699999996</v>
      </c>
      <c r="K45" s="247">
        <f t="shared" ref="K45:O45" si="8">K28+K33</f>
        <v>1135344.96</v>
      </c>
      <c r="L45" s="247">
        <f t="shared" si="8"/>
        <v>6043180.5699999994</v>
      </c>
      <c r="M45" s="247">
        <f t="shared" si="8"/>
        <v>1939464.72</v>
      </c>
      <c r="N45" s="247">
        <f t="shared" si="8"/>
        <v>1687226.9000000001</v>
      </c>
      <c r="O45" s="247">
        <f t="shared" si="8"/>
        <v>16888524.920000002</v>
      </c>
      <c r="P45" s="116"/>
      <c r="Q45" s="54"/>
      <c r="R45" s="54"/>
      <c r="S45" s="54"/>
      <c r="T45" s="54"/>
      <c r="U45" s="54"/>
      <c r="V45" s="54"/>
      <c r="W45" s="54"/>
      <c r="X45" s="54"/>
      <c r="Y45" s="54"/>
      <c r="Z45" s="54"/>
    </row>
    <row r="46" spans="1:26" ht="16.5" x14ac:dyDescent="0.25">
      <c r="A46" s="433" t="s">
        <v>113</v>
      </c>
      <c r="B46" s="434"/>
      <c r="C46" s="434"/>
      <c r="D46" s="434"/>
      <c r="E46" s="434"/>
      <c r="F46" s="434"/>
      <c r="G46" s="434"/>
      <c r="H46" s="434"/>
      <c r="I46" s="435"/>
      <c r="J46" s="173">
        <f>J45/G5</f>
        <v>21344.939543859648</v>
      </c>
      <c r="K46" s="173">
        <f>K45/K5</f>
        <v>10812.809142857142</v>
      </c>
      <c r="L46" s="173">
        <f>L45/O5</f>
        <v>58671.656019417467</v>
      </c>
      <c r="M46" s="173">
        <f>M45/S5</f>
        <v>242433.09</v>
      </c>
      <c r="N46" s="173">
        <f>N45/W5</f>
        <v>76692.131818181821</v>
      </c>
      <c r="O46" s="173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</row>
    <row r="47" spans="1:26" ht="16.5" x14ac:dyDescent="0.25">
      <c r="A47" s="169"/>
      <c r="B47" s="169"/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</row>
    <row r="48" spans="1:26" ht="16.5" x14ac:dyDescent="0.25">
      <c r="A48" s="169"/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</row>
    <row r="49" spans="1:26" ht="16.5" x14ac:dyDescent="0.25">
      <c r="A49" s="170"/>
      <c r="B49" s="170"/>
      <c r="C49" s="170"/>
      <c r="D49" s="170"/>
      <c r="E49" s="169"/>
      <c r="F49" s="169"/>
      <c r="G49" s="169"/>
      <c r="H49" s="169"/>
      <c r="I49" s="169"/>
      <c r="J49" s="169"/>
      <c r="K49" s="169"/>
      <c r="L49" s="169"/>
      <c r="M49" s="169" t="s">
        <v>333</v>
      </c>
      <c r="N49" s="169"/>
      <c r="O49" s="169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</row>
    <row r="50" spans="1:26" ht="16.5" x14ac:dyDescent="0.25">
      <c r="A50" s="169"/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</row>
    <row r="51" spans="1:26" ht="33" x14ac:dyDescent="0.25">
      <c r="A51" s="455" t="s">
        <v>315</v>
      </c>
      <c r="B51" s="456"/>
      <c r="C51" s="456"/>
      <c r="D51" s="456"/>
      <c r="E51" s="456"/>
      <c r="F51" s="456"/>
      <c r="G51" s="456"/>
      <c r="H51" s="456"/>
      <c r="I51" s="457"/>
      <c r="J51" s="164" t="s">
        <v>185</v>
      </c>
      <c r="K51" s="164" t="s">
        <v>186</v>
      </c>
      <c r="L51" s="165" t="s">
        <v>187</v>
      </c>
      <c r="M51" s="164" t="s">
        <v>188</v>
      </c>
      <c r="N51" s="164" t="s">
        <v>189</v>
      </c>
      <c r="O51" s="164" t="s">
        <v>183</v>
      </c>
    </row>
    <row r="52" spans="1:26" ht="16.5" x14ac:dyDescent="0.25">
      <c r="A52" s="458" t="s">
        <v>277</v>
      </c>
      <c r="B52" s="459"/>
      <c r="C52" s="459"/>
      <c r="D52" s="459"/>
      <c r="E52" s="459"/>
      <c r="F52" s="459"/>
      <c r="G52" s="459"/>
      <c r="H52" s="459"/>
      <c r="I52" s="459"/>
      <c r="J52" s="459"/>
      <c r="K52" s="459"/>
      <c r="L52" s="459"/>
      <c r="M52" s="459"/>
      <c r="N52" s="459"/>
      <c r="O52" s="460"/>
    </row>
    <row r="53" spans="1:26" ht="16.5" x14ac:dyDescent="0.25">
      <c r="A53" s="458" t="s">
        <v>170</v>
      </c>
      <c r="B53" s="459"/>
      <c r="C53" s="459"/>
      <c r="D53" s="459"/>
      <c r="E53" s="459"/>
      <c r="F53" s="459"/>
      <c r="G53" s="459"/>
      <c r="H53" s="459"/>
      <c r="I53" s="460"/>
      <c r="J53" s="205">
        <f>J55+J57+J54</f>
        <v>1796098.64</v>
      </c>
      <c r="K53" s="205">
        <f>K54+K55+K57</f>
        <v>970083.26</v>
      </c>
      <c r="L53" s="205">
        <f>L54+L56+L57</f>
        <v>957368.01</v>
      </c>
      <c r="M53" s="205">
        <f t="shared" ref="M53:N53" si="9">M54+M56+M57</f>
        <v>500308.39</v>
      </c>
      <c r="N53" s="205">
        <f t="shared" si="9"/>
        <v>483637.10000000003</v>
      </c>
      <c r="O53" s="205">
        <f>SUM(J53:N53)</f>
        <v>4707495.3999999994</v>
      </c>
    </row>
    <row r="54" spans="1:26" ht="16.5" x14ac:dyDescent="0.25">
      <c r="A54" s="461" t="s">
        <v>259</v>
      </c>
      <c r="B54" s="462"/>
      <c r="C54" s="462"/>
      <c r="D54" s="462"/>
      <c r="E54" s="462"/>
      <c r="F54" s="462"/>
      <c r="G54" s="462"/>
      <c r="H54" s="462"/>
      <c r="I54" s="463"/>
      <c r="J54" s="173"/>
      <c r="K54" s="173"/>
      <c r="L54" s="173"/>
      <c r="M54" s="173"/>
      <c r="N54" s="173"/>
      <c r="O54" s="173">
        <f t="shared" ref="O54:O56" si="10">SUM(J54:N54)</f>
        <v>0</v>
      </c>
    </row>
    <row r="55" spans="1:26" ht="16.5" x14ac:dyDescent="0.25">
      <c r="A55" s="433" t="s">
        <v>260</v>
      </c>
      <c r="B55" s="434"/>
      <c r="C55" s="434"/>
      <c r="D55" s="434"/>
      <c r="E55" s="434"/>
      <c r="F55" s="434"/>
      <c r="G55" s="434"/>
      <c r="H55" s="434"/>
      <c r="I55" s="435"/>
      <c r="J55" s="213">
        <f>J56</f>
        <v>365800.43</v>
      </c>
      <c r="K55" s="213">
        <f>K56</f>
        <v>297369.83</v>
      </c>
      <c r="L55" s="173">
        <f t="shared" ref="L55:N55" si="11">L56</f>
        <v>273119.07</v>
      </c>
      <c r="M55" s="173">
        <f t="shared" si="11"/>
        <v>55405.16</v>
      </c>
      <c r="N55" s="213">
        <f t="shared" si="11"/>
        <v>121193.14</v>
      </c>
      <c r="O55" s="173">
        <f t="shared" si="10"/>
        <v>1112887.6300000001</v>
      </c>
    </row>
    <row r="56" spans="1:26" ht="16.5" x14ac:dyDescent="0.25">
      <c r="A56" s="449" t="s">
        <v>261</v>
      </c>
      <c r="B56" s="450"/>
      <c r="C56" s="450"/>
      <c r="D56" s="450"/>
      <c r="E56" s="450"/>
      <c r="F56" s="450"/>
      <c r="G56" s="450"/>
      <c r="H56" s="450"/>
      <c r="I56" s="451"/>
      <c r="J56" s="173">
        <f>365800.43</f>
        <v>365800.43</v>
      </c>
      <c r="K56" s="213">
        <v>297369.83</v>
      </c>
      <c r="L56" s="173">
        <v>273119.07</v>
      </c>
      <c r="M56" s="173">
        <v>55405.16</v>
      </c>
      <c r="N56" s="173">
        <v>121193.14</v>
      </c>
      <c r="O56" s="173">
        <f t="shared" si="10"/>
        <v>1112887.6300000001</v>
      </c>
    </row>
    <row r="57" spans="1:26" ht="16.5" x14ac:dyDescent="0.25">
      <c r="A57" s="433" t="s">
        <v>262</v>
      </c>
      <c r="B57" s="434"/>
      <c r="C57" s="434"/>
      <c r="D57" s="434"/>
      <c r="E57" s="434"/>
      <c r="F57" s="434"/>
      <c r="G57" s="434"/>
      <c r="H57" s="434"/>
      <c r="I57" s="435"/>
      <c r="J57" s="213">
        <f>1430298.21</f>
        <v>1430298.21</v>
      </c>
      <c r="K57" s="173">
        <f>672713.43</f>
        <v>672713.43</v>
      </c>
      <c r="L57" s="173">
        <f>684248.94</f>
        <v>684248.94</v>
      </c>
      <c r="M57" s="173">
        <f>444903.23</f>
        <v>444903.23</v>
      </c>
      <c r="N57" s="173">
        <f>362443.96</f>
        <v>362443.96</v>
      </c>
      <c r="O57" s="173">
        <f>SUM(J57:N57)</f>
        <v>3594607.77</v>
      </c>
    </row>
    <row r="58" spans="1:26" ht="16.5" x14ac:dyDescent="0.25">
      <c r="A58" s="458" t="s">
        <v>177</v>
      </c>
      <c r="B58" s="459"/>
      <c r="C58" s="459"/>
      <c r="D58" s="459"/>
      <c r="E58" s="459"/>
      <c r="F58" s="459"/>
      <c r="G58" s="459"/>
      <c r="H58" s="459"/>
      <c r="I58" s="460"/>
      <c r="J58" s="205">
        <f>J59+J60+J64+J65+J66+J68</f>
        <v>5973459.3499999996</v>
      </c>
      <c r="K58" s="205">
        <f>K59+K60+K64+K65+K66+K68</f>
        <v>705636.54999999993</v>
      </c>
      <c r="L58" s="205">
        <f t="shared" ref="L58:N58" si="12">L59+L60+L64+L65+L66+L68</f>
        <v>6611275.6199999992</v>
      </c>
      <c r="M58" s="205">
        <f t="shared" si="12"/>
        <v>4348353.3999999994</v>
      </c>
      <c r="N58" s="205">
        <f t="shared" si="12"/>
        <v>1981191.0999999999</v>
      </c>
      <c r="O58" s="205">
        <f t="shared" ref="O58:O69" si="13">SUM(J58:N58)</f>
        <v>19619916.02</v>
      </c>
    </row>
    <row r="59" spans="1:26" ht="16.5" x14ac:dyDescent="0.25">
      <c r="A59" s="449" t="s">
        <v>264</v>
      </c>
      <c r="B59" s="450"/>
      <c r="C59" s="450"/>
      <c r="D59" s="450"/>
      <c r="E59" s="450"/>
      <c r="F59" s="450"/>
      <c r="G59" s="450"/>
      <c r="H59" s="450"/>
      <c r="I59" s="451"/>
      <c r="J59" s="173"/>
      <c r="K59" s="173"/>
      <c r="L59" s="173"/>
      <c r="M59" s="173"/>
      <c r="N59" s="173"/>
      <c r="O59" s="173">
        <f t="shared" si="13"/>
        <v>0</v>
      </c>
    </row>
    <row r="60" spans="1:26" ht="16.5" x14ac:dyDescent="0.25">
      <c r="A60" s="433" t="s">
        <v>265</v>
      </c>
      <c r="B60" s="434"/>
      <c r="C60" s="434"/>
      <c r="D60" s="434"/>
      <c r="E60" s="434"/>
      <c r="F60" s="434"/>
      <c r="G60" s="434"/>
      <c r="H60" s="434"/>
      <c r="I60" s="435"/>
      <c r="J60" s="173">
        <f>J61+J62+J63</f>
        <v>2156416.9323775386</v>
      </c>
      <c r="K60" s="173">
        <f t="shared" ref="K60:N60" si="14">K61+K62+K63</f>
        <v>0</v>
      </c>
      <c r="L60" s="173">
        <f t="shared" si="14"/>
        <v>1824016.6340425531</v>
      </c>
      <c r="M60" s="173">
        <f t="shared" si="14"/>
        <v>1326569.8709677421</v>
      </c>
      <c r="N60" s="173">
        <f t="shared" si="14"/>
        <v>622091.11208791204</v>
      </c>
      <c r="O60" s="173">
        <f t="shared" si="13"/>
        <v>5929094.5494757453</v>
      </c>
      <c r="P60" s="18"/>
      <c r="R60" s="31"/>
    </row>
    <row r="61" spans="1:26" ht="16.5" x14ac:dyDescent="0.25">
      <c r="A61" s="433" t="s">
        <v>172</v>
      </c>
      <c r="B61" s="434"/>
      <c r="C61" s="434"/>
      <c r="D61" s="434"/>
      <c r="E61" s="434"/>
      <c r="F61" s="434"/>
      <c r="G61" s="434"/>
      <c r="H61" s="434"/>
      <c r="I61" s="435"/>
      <c r="J61" s="173">
        <f>1222534/G13*G7*90%</f>
        <v>478497.17849462369</v>
      </c>
      <c r="K61" s="173"/>
      <c r="L61" s="173">
        <f>2593253/O10*O6*90%</f>
        <v>1067647.7776595745</v>
      </c>
      <c r="M61" s="173">
        <f>240802/S14*S6*90%</f>
        <v>139820.51612903227</v>
      </c>
      <c r="N61" s="173">
        <f>592744/W13*W6*90%</f>
        <v>187593.7054945055</v>
      </c>
      <c r="O61" s="173">
        <f t="shared" si="13"/>
        <v>1873559.177777736</v>
      </c>
      <c r="P61" s="31"/>
    </row>
    <row r="62" spans="1:26" ht="16.5" x14ac:dyDescent="0.25">
      <c r="A62" s="433" t="s">
        <v>173</v>
      </c>
      <c r="B62" s="434"/>
      <c r="C62" s="434"/>
      <c r="D62" s="434"/>
      <c r="E62" s="434"/>
      <c r="F62" s="434"/>
      <c r="G62" s="434"/>
      <c r="H62" s="434"/>
      <c r="I62" s="435"/>
      <c r="J62" s="173">
        <f>6098553/G13*G7*50%</f>
        <v>1326089.182795699</v>
      </c>
      <c r="K62" s="173"/>
      <c r="L62" s="173">
        <f>2178055/O10*O6*50%</f>
        <v>498172.15425531915</v>
      </c>
      <c r="M62" s="173">
        <f>3635537/S14*S6*50%</f>
        <v>1172753.8709677421</v>
      </c>
      <c r="N62" s="173">
        <f>1982030/W13*W6*50%</f>
        <v>348488.7912087912</v>
      </c>
      <c r="O62" s="173">
        <f t="shared" si="13"/>
        <v>3345503.9992275513</v>
      </c>
    </row>
    <row r="63" spans="1:26" ht="16.5" x14ac:dyDescent="0.25">
      <c r="A63" s="433" t="s">
        <v>174</v>
      </c>
      <c r="B63" s="434"/>
      <c r="C63" s="434"/>
      <c r="D63" s="434"/>
      <c r="E63" s="434"/>
      <c r="F63" s="434"/>
      <c r="G63" s="434"/>
      <c r="H63" s="434"/>
      <c r="I63" s="435"/>
      <c r="J63" s="173">
        <f>(358768+450249)/G13*G7</f>
        <v>351830.57108721626</v>
      </c>
      <c r="K63" s="173"/>
      <c r="L63" s="173">
        <f>(250303+314127)/O10*O6</f>
        <v>258196.70212765958</v>
      </c>
      <c r="M63" s="173">
        <f>21693/S14*S6</f>
        <v>13995.483870967742</v>
      </c>
      <c r="N63" s="173">
        <f>(108465+136122)/W13*W6</f>
        <v>86008.61538461539</v>
      </c>
      <c r="O63" s="173">
        <f t="shared" si="13"/>
        <v>710031.37247045897</v>
      </c>
    </row>
    <row r="64" spans="1:26" ht="16.5" x14ac:dyDescent="0.25">
      <c r="A64" s="433" t="s">
        <v>266</v>
      </c>
      <c r="B64" s="434"/>
      <c r="C64" s="434"/>
      <c r="D64" s="434"/>
      <c r="E64" s="434"/>
      <c r="F64" s="434"/>
      <c r="G64" s="434"/>
      <c r="H64" s="434"/>
      <c r="I64" s="435"/>
      <c r="J64" s="173"/>
      <c r="K64" s="173"/>
      <c r="L64" s="173"/>
      <c r="M64" s="173"/>
      <c r="N64" s="173"/>
      <c r="O64" s="173">
        <f t="shared" si="13"/>
        <v>0</v>
      </c>
    </row>
    <row r="65" spans="1:17" ht="16.5" x14ac:dyDescent="0.25">
      <c r="A65" s="433" t="s">
        <v>267</v>
      </c>
      <c r="B65" s="434"/>
      <c r="C65" s="434"/>
      <c r="D65" s="434"/>
      <c r="E65" s="434"/>
      <c r="F65" s="434"/>
      <c r="G65" s="434"/>
      <c r="H65" s="434"/>
      <c r="I65" s="435"/>
      <c r="J65" s="173"/>
      <c r="K65" s="173"/>
      <c r="L65" s="173"/>
      <c r="M65" s="173">
        <v>67857.14</v>
      </c>
      <c r="N65" s="173"/>
      <c r="O65" s="173">
        <f t="shared" si="13"/>
        <v>67857.14</v>
      </c>
    </row>
    <row r="66" spans="1:17" ht="16.5" x14ac:dyDescent="0.25">
      <c r="A66" s="464" t="s">
        <v>268</v>
      </c>
      <c r="B66" s="465"/>
      <c r="C66" s="465"/>
      <c r="D66" s="465"/>
      <c r="E66" s="465"/>
      <c r="F66" s="465"/>
      <c r="G66" s="465"/>
      <c r="H66" s="465"/>
      <c r="I66" s="466"/>
      <c r="J66" s="205">
        <f>J67</f>
        <v>607329.87</v>
      </c>
      <c r="K66" s="205">
        <f>K67</f>
        <v>20749.61</v>
      </c>
      <c r="L66" s="205">
        <f t="shared" ref="L66:N66" si="15">L67</f>
        <v>2119725.25</v>
      </c>
      <c r="M66" s="205">
        <f t="shared" si="15"/>
        <v>1498565.29</v>
      </c>
      <c r="N66" s="205">
        <f t="shared" si="15"/>
        <v>152596.4</v>
      </c>
      <c r="O66" s="205">
        <f t="shared" si="13"/>
        <v>4398966.42</v>
      </c>
      <c r="P66" s="18"/>
    </row>
    <row r="67" spans="1:17" ht="16.5" x14ac:dyDescent="0.25">
      <c r="A67" s="449" t="s">
        <v>271</v>
      </c>
      <c r="B67" s="450"/>
      <c r="C67" s="450"/>
      <c r="D67" s="450"/>
      <c r="E67" s="450"/>
      <c r="F67" s="450"/>
      <c r="G67" s="450"/>
      <c r="H67" s="450"/>
      <c r="I67" s="451"/>
      <c r="J67" s="173">
        <f>414091.97+193237.9</f>
        <v>607329.87</v>
      </c>
      <c r="K67" s="173">
        <v>20749.61</v>
      </c>
      <c r="L67" s="173">
        <f>322874.19+1796851.06</f>
        <v>2119725.25</v>
      </c>
      <c r="M67" s="173">
        <f>321054.84+1177510.45</f>
        <v>1498565.29</v>
      </c>
      <c r="N67" s="173">
        <v>152596.4</v>
      </c>
      <c r="O67" s="173">
        <f t="shared" si="13"/>
        <v>4398966.42</v>
      </c>
      <c r="P67" t="s">
        <v>354</v>
      </c>
    </row>
    <row r="68" spans="1:17" ht="16.5" x14ac:dyDescent="0.25">
      <c r="A68" s="433" t="s">
        <v>270</v>
      </c>
      <c r="B68" s="434"/>
      <c r="C68" s="434"/>
      <c r="D68" s="434"/>
      <c r="E68" s="434"/>
      <c r="F68" s="434"/>
      <c r="G68" s="434"/>
      <c r="H68" s="434"/>
      <c r="I68" s="435"/>
      <c r="J68" s="205">
        <f>J69</f>
        <v>3209712.5476224613</v>
      </c>
      <c r="K68" s="205">
        <f>K69</f>
        <v>684886.94</v>
      </c>
      <c r="L68" s="205">
        <f t="shared" ref="L68:N68" si="16">L69</f>
        <v>2667533.7359574465</v>
      </c>
      <c r="M68" s="205">
        <f t="shared" si="16"/>
        <v>1455361.0990322579</v>
      </c>
      <c r="N68" s="205">
        <f t="shared" si="16"/>
        <v>1206503.5879120878</v>
      </c>
      <c r="O68" s="205">
        <f t="shared" si="13"/>
        <v>9223997.9105242528</v>
      </c>
    </row>
    <row r="69" spans="1:17" ht="16.5" x14ac:dyDescent="0.25">
      <c r="A69" s="449" t="s">
        <v>269</v>
      </c>
      <c r="B69" s="450"/>
      <c r="C69" s="450"/>
      <c r="D69" s="450"/>
      <c r="E69" s="450"/>
      <c r="F69" s="450"/>
      <c r="G69" s="450"/>
      <c r="H69" s="450"/>
      <c r="I69" s="451"/>
      <c r="J69" s="173">
        <f>3560228.77+22151.11+1197222.53-J60+586527.07</f>
        <v>3209712.5476224613</v>
      </c>
      <c r="K69" s="173">
        <f>21360+635738.25+21625.44+6163.25</f>
        <v>684886.94</v>
      </c>
      <c r="L69" s="173">
        <f>2563518.65+532706.88-L60+1395324.84</f>
        <v>2667533.7359574465</v>
      </c>
      <c r="M69" s="173">
        <f>2378805.16+323330.97-M60+79794.84</f>
        <v>1455361.0990322579</v>
      </c>
      <c r="N69" s="173">
        <f>1106846.24+10680+285618.64+10549.44-N60+414900.38</f>
        <v>1206503.5879120878</v>
      </c>
      <c r="O69" s="173">
        <f t="shared" si="13"/>
        <v>9223997.9105242528</v>
      </c>
    </row>
    <row r="70" spans="1:17" ht="16.5" x14ac:dyDescent="0.25">
      <c r="A70" s="452" t="s">
        <v>183</v>
      </c>
      <c r="B70" s="453"/>
      <c r="C70" s="453"/>
      <c r="D70" s="453"/>
      <c r="E70" s="453"/>
      <c r="F70" s="453"/>
      <c r="G70" s="453"/>
      <c r="H70" s="453"/>
      <c r="I70" s="454"/>
      <c r="J70" s="247">
        <f>J53+J58</f>
        <v>7769557.9899999993</v>
      </c>
      <c r="K70" s="247">
        <f t="shared" ref="K70:O70" si="17">K53+K58</f>
        <v>1675719.81</v>
      </c>
      <c r="L70" s="247">
        <f t="shared" si="17"/>
        <v>7568643.629999999</v>
      </c>
      <c r="M70" s="247">
        <f t="shared" si="17"/>
        <v>4848661.7899999991</v>
      </c>
      <c r="N70" s="247">
        <f t="shared" si="17"/>
        <v>2464828.1999999997</v>
      </c>
      <c r="O70" s="247">
        <f t="shared" si="17"/>
        <v>24327411.419999998</v>
      </c>
      <c r="P70" s="31"/>
      <c r="Q70" s="31"/>
    </row>
    <row r="71" spans="1:17" ht="16.5" x14ac:dyDescent="0.25">
      <c r="A71" s="433" t="s">
        <v>113</v>
      </c>
      <c r="B71" s="434"/>
      <c r="C71" s="434"/>
      <c r="D71" s="434"/>
      <c r="E71" s="434"/>
      <c r="F71" s="434"/>
      <c r="G71" s="434"/>
      <c r="H71" s="434"/>
      <c r="I71" s="435"/>
      <c r="J71" s="173">
        <f>J70/G7</f>
        <v>21344.93953296703</v>
      </c>
      <c r="K71" s="173">
        <f>K70/K6</f>
        <v>10952.41705882353</v>
      </c>
      <c r="L71" s="173">
        <f>L70/O6</f>
        <v>58671.65604651162</v>
      </c>
      <c r="M71" s="173">
        <f>M70/S6</f>
        <v>242433.08949999994</v>
      </c>
      <c r="N71" s="173">
        <f>N70/W6</f>
        <v>77025.881249999991</v>
      </c>
      <c r="O71" s="173"/>
    </row>
    <row r="72" spans="1:17" ht="16.5" x14ac:dyDescent="0.25">
      <c r="A72" s="169"/>
      <c r="B72" s="169"/>
      <c r="C72" s="169"/>
      <c r="D72" s="169"/>
      <c r="E72" s="169"/>
      <c r="F72" s="169"/>
      <c r="G72" s="169"/>
      <c r="H72" s="169"/>
      <c r="I72" s="169"/>
      <c r="J72" s="169"/>
      <c r="K72" s="169"/>
      <c r="L72" s="169"/>
      <c r="M72" s="169"/>
      <c r="N72" s="169"/>
      <c r="O72" s="169"/>
    </row>
    <row r="73" spans="1:17" ht="16.5" x14ac:dyDescent="0.25">
      <c r="A73" s="169"/>
      <c r="B73" s="169"/>
      <c r="C73" s="169"/>
      <c r="D73" s="169"/>
      <c r="E73" s="169"/>
      <c r="F73" s="169"/>
      <c r="G73" s="169"/>
      <c r="H73" s="169"/>
      <c r="I73" s="169"/>
      <c r="J73" s="169"/>
      <c r="K73" s="169"/>
      <c r="L73" s="169"/>
      <c r="M73" s="169"/>
      <c r="N73" s="169"/>
      <c r="O73" s="169"/>
    </row>
    <row r="74" spans="1:17" ht="16.5" x14ac:dyDescent="0.25">
      <c r="A74" s="169"/>
      <c r="B74" s="169"/>
      <c r="C74" s="169"/>
      <c r="D74" s="169"/>
      <c r="E74" s="169"/>
      <c r="F74" s="169"/>
      <c r="G74" s="169"/>
      <c r="H74" s="169"/>
      <c r="I74" s="169"/>
      <c r="J74" s="169"/>
      <c r="K74" s="169"/>
      <c r="L74" s="169"/>
      <c r="M74" s="169" t="s">
        <v>340</v>
      </c>
      <c r="N74" s="169"/>
      <c r="O74" s="169"/>
    </row>
    <row r="75" spans="1:17" ht="16.5" x14ac:dyDescent="0.25">
      <c r="A75" s="169"/>
      <c r="B75" s="169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</row>
    <row r="76" spans="1:17" ht="33" x14ac:dyDescent="0.25">
      <c r="A76" s="455" t="s">
        <v>315</v>
      </c>
      <c r="B76" s="456"/>
      <c r="C76" s="456"/>
      <c r="D76" s="456"/>
      <c r="E76" s="456"/>
      <c r="F76" s="456"/>
      <c r="G76" s="456"/>
      <c r="H76" s="456"/>
      <c r="I76" s="457"/>
      <c r="J76" s="164" t="s">
        <v>185</v>
      </c>
      <c r="K76" s="164" t="s">
        <v>186</v>
      </c>
      <c r="L76" s="165" t="s">
        <v>187</v>
      </c>
      <c r="M76" s="164" t="s">
        <v>188</v>
      </c>
      <c r="N76" s="164" t="s">
        <v>189</v>
      </c>
      <c r="O76" s="164" t="s">
        <v>183</v>
      </c>
    </row>
    <row r="77" spans="1:17" ht="16.5" x14ac:dyDescent="0.25">
      <c r="A77" s="458" t="s">
        <v>278</v>
      </c>
      <c r="B77" s="459"/>
      <c r="C77" s="459"/>
      <c r="D77" s="459"/>
      <c r="E77" s="459"/>
      <c r="F77" s="459"/>
      <c r="G77" s="459"/>
      <c r="H77" s="459"/>
      <c r="I77" s="459"/>
      <c r="J77" s="459"/>
      <c r="K77" s="459"/>
      <c r="L77" s="459"/>
      <c r="M77" s="459"/>
      <c r="N77" s="459"/>
      <c r="O77" s="460"/>
    </row>
    <row r="78" spans="1:17" ht="16.5" x14ac:dyDescent="0.25">
      <c r="A78" s="458" t="s">
        <v>170</v>
      </c>
      <c r="B78" s="459"/>
      <c r="C78" s="459"/>
      <c r="D78" s="459"/>
      <c r="E78" s="459"/>
      <c r="F78" s="459"/>
      <c r="G78" s="459"/>
      <c r="H78" s="459"/>
      <c r="I78" s="460"/>
      <c r="J78" s="205">
        <f>J79+J80+J82</f>
        <v>9868.67</v>
      </c>
      <c r="K78" s="205">
        <f>K79+K80+K82</f>
        <v>6340.41</v>
      </c>
      <c r="L78" s="205">
        <f t="shared" ref="L78:N78" si="18">L79+L80+L82</f>
        <v>0</v>
      </c>
      <c r="M78" s="205">
        <f t="shared" si="18"/>
        <v>0</v>
      </c>
      <c r="N78" s="205">
        <f t="shared" si="18"/>
        <v>0</v>
      </c>
      <c r="O78" s="205">
        <f>SUM(J78:N78)</f>
        <v>16209.08</v>
      </c>
    </row>
    <row r="79" spans="1:17" ht="16.5" x14ac:dyDescent="0.25">
      <c r="A79" s="461" t="s">
        <v>259</v>
      </c>
      <c r="B79" s="462"/>
      <c r="C79" s="462"/>
      <c r="D79" s="462"/>
      <c r="E79" s="462"/>
      <c r="F79" s="462"/>
      <c r="G79" s="462"/>
      <c r="H79" s="462"/>
      <c r="I79" s="463"/>
      <c r="J79" s="173"/>
      <c r="K79" s="173"/>
      <c r="L79" s="173"/>
      <c r="M79" s="173"/>
      <c r="N79" s="173"/>
      <c r="O79" s="173">
        <f t="shared" ref="O79:O82" si="19">SUM(J79:N79)</f>
        <v>0</v>
      </c>
    </row>
    <row r="80" spans="1:17" ht="16.5" x14ac:dyDescent="0.25">
      <c r="A80" s="433" t="s">
        <v>260</v>
      </c>
      <c r="B80" s="434"/>
      <c r="C80" s="434"/>
      <c r="D80" s="434"/>
      <c r="E80" s="434"/>
      <c r="F80" s="434"/>
      <c r="G80" s="434"/>
      <c r="H80" s="434"/>
      <c r="I80" s="435"/>
      <c r="J80" s="173">
        <f>J81</f>
        <v>2009.89</v>
      </c>
      <c r="K80" s="173">
        <f>K81</f>
        <v>1943.59</v>
      </c>
      <c r="L80" s="173">
        <f t="shared" ref="L80:N80" si="20">L81</f>
        <v>0</v>
      </c>
      <c r="M80" s="173">
        <f t="shared" si="20"/>
        <v>0</v>
      </c>
      <c r="N80" s="173">
        <f t="shared" si="20"/>
        <v>0</v>
      </c>
      <c r="O80" s="173">
        <f t="shared" si="19"/>
        <v>3953.48</v>
      </c>
    </row>
    <row r="81" spans="1:16" ht="16.5" x14ac:dyDescent="0.25">
      <c r="A81" s="449" t="s">
        <v>261</v>
      </c>
      <c r="B81" s="450"/>
      <c r="C81" s="450"/>
      <c r="D81" s="450"/>
      <c r="E81" s="450"/>
      <c r="F81" s="450"/>
      <c r="G81" s="450"/>
      <c r="H81" s="450"/>
      <c r="I81" s="451"/>
      <c r="J81" s="173">
        <v>2009.89</v>
      </c>
      <c r="K81" s="173">
        <v>1943.59</v>
      </c>
      <c r="L81" s="173"/>
      <c r="M81" s="173"/>
      <c r="N81" s="173"/>
      <c r="O81" s="173">
        <f>SUM(J81:N81)</f>
        <v>3953.48</v>
      </c>
    </row>
    <row r="82" spans="1:16" ht="16.5" x14ac:dyDescent="0.25">
      <c r="A82" s="433" t="s">
        <v>262</v>
      </c>
      <c r="B82" s="434"/>
      <c r="C82" s="434"/>
      <c r="D82" s="434"/>
      <c r="E82" s="434"/>
      <c r="F82" s="434"/>
      <c r="G82" s="434"/>
      <c r="H82" s="434"/>
      <c r="I82" s="435"/>
      <c r="J82" s="173">
        <f>7858.78</f>
        <v>7858.78</v>
      </c>
      <c r="K82" s="173">
        <f>4396.82</f>
        <v>4396.82</v>
      </c>
      <c r="L82" s="173">
        <f>R56+R57+R69+R63</f>
        <v>0</v>
      </c>
      <c r="M82" s="173">
        <f>V56+V57+V63+V64</f>
        <v>0</v>
      </c>
      <c r="N82" s="173"/>
      <c r="O82" s="173">
        <f t="shared" si="19"/>
        <v>12255.599999999999</v>
      </c>
    </row>
    <row r="83" spans="1:16" ht="16.5" x14ac:dyDescent="0.25">
      <c r="A83" s="452" t="s">
        <v>177</v>
      </c>
      <c r="B83" s="453"/>
      <c r="C83" s="453"/>
      <c r="D83" s="453"/>
      <c r="E83" s="453"/>
      <c r="F83" s="453"/>
      <c r="G83" s="453"/>
      <c r="H83" s="453"/>
      <c r="I83" s="454"/>
      <c r="J83" s="205">
        <f>J84+J85+J89+J90+J91+J93</f>
        <v>32699.5</v>
      </c>
      <c r="K83" s="205">
        <f>K84+K85+K89+K90+K91+K93</f>
        <v>4472.3999999999996</v>
      </c>
      <c r="L83" s="205">
        <f t="shared" ref="L83:O83" si="21">L84+L85+L89+L90+L91+L93</f>
        <v>0</v>
      </c>
      <c r="M83" s="205">
        <f t="shared" si="21"/>
        <v>0</v>
      </c>
      <c r="N83" s="205">
        <f t="shared" si="21"/>
        <v>0</v>
      </c>
      <c r="O83" s="205">
        <f t="shared" si="21"/>
        <v>37171.9</v>
      </c>
    </row>
    <row r="84" spans="1:16" ht="16.5" x14ac:dyDescent="0.25">
      <c r="A84" s="449" t="s">
        <v>264</v>
      </c>
      <c r="B84" s="450"/>
      <c r="C84" s="450"/>
      <c r="D84" s="450"/>
      <c r="E84" s="450"/>
      <c r="F84" s="450"/>
      <c r="G84" s="450"/>
      <c r="H84" s="450"/>
      <c r="I84" s="451"/>
      <c r="J84" s="173"/>
      <c r="K84" s="173"/>
      <c r="L84" s="173"/>
      <c r="M84" s="173"/>
      <c r="N84" s="173"/>
      <c r="O84" s="173">
        <f>SUM(J84:N84)</f>
        <v>0</v>
      </c>
    </row>
    <row r="85" spans="1:16" ht="16.5" x14ac:dyDescent="0.25">
      <c r="A85" s="433" t="s">
        <v>265</v>
      </c>
      <c r="B85" s="434"/>
      <c r="C85" s="434"/>
      <c r="D85" s="434"/>
      <c r="E85" s="434"/>
      <c r="F85" s="434"/>
      <c r="G85" s="434"/>
      <c r="H85" s="434"/>
      <c r="I85" s="435"/>
      <c r="J85" s="173">
        <f>J86+J87+J88</f>
        <v>11848.444683393071</v>
      </c>
      <c r="K85" s="173">
        <f t="shared" ref="K85:N85" si="22">K86+K87+K88</f>
        <v>0</v>
      </c>
      <c r="L85" s="173">
        <f t="shared" si="22"/>
        <v>0</v>
      </c>
      <c r="M85" s="173">
        <f t="shared" si="22"/>
        <v>0</v>
      </c>
      <c r="N85" s="173">
        <f t="shared" si="22"/>
        <v>0</v>
      </c>
      <c r="O85" s="173">
        <f t="shared" ref="O85:O94" si="23">SUM(J85:N85)</f>
        <v>11848.444683393071</v>
      </c>
    </row>
    <row r="86" spans="1:16" ht="16.5" x14ac:dyDescent="0.25">
      <c r="A86" s="433" t="s">
        <v>172</v>
      </c>
      <c r="B86" s="434"/>
      <c r="C86" s="434"/>
      <c r="D86" s="434"/>
      <c r="E86" s="434"/>
      <c r="F86" s="434"/>
      <c r="G86" s="434"/>
      <c r="H86" s="434"/>
      <c r="I86" s="435"/>
      <c r="J86" s="173">
        <f>1222534/G13*G8*90%</f>
        <v>2629.1053763440859</v>
      </c>
      <c r="K86" s="173"/>
      <c r="L86" s="173"/>
      <c r="M86" s="173"/>
      <c r="N86" s="173">
        <f>507539/W13*W7*90%</f>
        <v>0</v>
      </c>
      <c r="O86" s="173">
        <f t="shared" si="23"/>
        <v>2629.1053763440859</v>
      </c>
    </row>
    <row r="87" spans="1:16" ht="16.5" x14ac:dyDescent="0.25">
      <c r="A87" s="433" t="s">
        <v>173</v>
      </c>
      <c r="B87" s="434"/>
      <c r="C87" s="434"/>
      <c r="D87" s="434"/>
      <c r="E87" s="434"/>
      <c r="F87" s="434"/>
      <c r="G87" s="434"/>
      <c r="H87" s="434"/>
      <c r="I87" s="435"/>
      <c r="J87" s="173">
        <f>6098553/G13*G8*50%</f>
        <v>7286.2043010752686</v>
      </c>
      <c r="K87" s="173"/>
      <c r="L87" s="173"/>
      <c r="M87" s="173"/>
      <c r="N87" s="173">
        <f>1858496/W13*W7*50%</f>
        <v>0</v>
      </c>
      <c r="O87" s="173">
        <f t="shared" si="23"/>
        <v>7286.2043010752686</v>
      </c>
    </row>
    <row r="88" spans="1:16" ht="16.5" x14ac:dyDescent="0.25">
      <c r="A88" s="433" t="s">
        <v>174</v>
      </c>
      <c r="B88" s="434"/>
      <c r="C88" s="434"/>
      <c r="D88" s="434"/>
      <c r="E88" s="434"/>
      <c r="F88" s="434"/>
      <c r="G88" s="434"/>
      <c r="H88" s="434"/>
      <c r="I88" s="435"/>
      <c r="J88" s="173">
        <f>(358768+450249)/G13*G8</f>
        <v>1933.1350059737156</v>
      </c>
      <c r="K88" s="173"/>
      <c r="L88" s="173"/>
      <c r="M88" s="173"/>
      <c r="N88" s="173">
        <f>(114318+157748)/W13*W7</f>
        <v>0</v>
      </c>
      <c r="O88" s="173">
        <f t="shared" si="23"/>
        <v>1933.1350059737156</v>
      </c>
    </row>
    <row r="89" spans="1:16" ht="16.5" x14ac:dyDescent="0.25">
      <c r="A89" s="433" t="s">
        <v>266</v>
      </c>
      <c r="B89" s="434"/>
      <c r="C89" s="434"/>
      <c r="D89" s="434"/>
      <c r="E89" s="434"/>
      <c r="F89" s="434"/>
      <c r="G89" s="434"/>
      <c r="H89" s="434"/>
      <c r="I89" s="435"/>
      <c r="J89" s="173"/>
      <c r="K89" s="173"/>
      <c r="L89" s="173"/>
      <c r="M89" s="173"/>
      <c r="N89" s="173"/>
      <c r="O89" s="173">
        <f t="shared" si="23"/>
        <v>0</v>
      </c>
    </row>
    <row r="90" spans="1:16" ht="16.5" x14ac:dyDescent="0.25">
      <c r="A90" s="433" t="s">
        <v>267</v>
      </c>
      <c r="B90" s="434"/>
      <c r="C90" s="434"/>
      <c r="D90" s="434"/>
      <c r="E90" s="434"/>
      <c r="F90" s="434"/>
      <c r="G90" s="434"/>
      <c r="H90" s="434"/>
      <c r="I90" s="435"/>
      <c r="J90" s="173"/>
      <c r="K90" s="173"/>
      <c r="L90" s="173"/>
      <c r="M90" s="173"/>
      <c r="N90" s="173"/>
      <c r="O90" s="173">
        <f t="shared" si="23"/>
        <v>0</v>
      </c>
    </row>
    <row r="91" spans="1:16" ht="16.5" x14ac:dyDescent="0.25">
      <c r="A91" s="464" t="s">
        <v>268</v>
      </c>
      <c r="B91" s="465"/>
      <c r="C91" s="465"/>
      <c r="D91" s="465"/>
      <c r="E91" s="465"/>
      <c r="F91" s="465"/>
      <c r="G91" s="465"/>
      <c r="H91" s="465"/>
      <c r="I91" s="466"/>
      <c r="J91" s="205">
        <f>J92</f>
        <v>3336.98</v>
      </c>
      <c r="K91" s="205">
        <f t="shared" ref="K91:N91" si="24">K92</f>
        <v>135.62</v>
      </c>
      <c r="L91" s="205">
        <f t="shared" si="24"/>
        <v>0</v>
      </c>
      <c r="M91" s="205">
        <f t="shared" si="24"/>
        <v>0</v>
      </c>
      <c r="N91" s="205">
        <f t="shared" si="24"/>
        <v>0</v>
      </c>
      <c r="O91" s="205">
        <f t="shared" si="23"/>
        <v>3472.6</v>
      </c>
    </row>
    <row r="92" spans="1:16" ht="16.5" x14ac:dyDescent="0.25">
      <c r="A92" s="449" t="s">
        <v>271</v>
      </c>
      <c r="B92" s="450"/>
      <c r="C92" s="450"/>
      <c r="D92" s="450"/>
      <c r="E92" s="450"/>
      <c r="F92" s="450"/>
      <c r="G92" s="450"/>
      <c r="H92" s="450"/>
      <c r="I92" s="451"/>
      <c r="J92" s="173">
        <f>2275.23+1061.75</f>
        <v>3336.98</v>
      </c>
      <c r="K92" s="173">
        <v>135.62</v>
      </c>
      <c r="L92" s="173"/>
      <c r="M92" s="173"/>
      <c r="N92" s="173"/>
      <c r="O92" s="173">
        <f t="shared" si="23"/>
        <v>3472.6</v>
      </c>
    </row>
    <row r="93" spans="1:16" ht="16.5" x14ac:dyDescent="0.25">
      <c r="A93" s="433" t="s">
        <v>270</v>
      </c>
      <c r="B93" s="434"/>
      <c r="C93" s="434"/>
      <c r="D93" s="434"/>
      <c r="E93" s="434"/>
      <c r="F93" s="434"/>
      <c r="G93" s="434"/>
      <c r="H93" s="434"/>
      <c r="I93" s="435"/>
      <c r="J93" s="205">
        <f>J94</f>
        <v>17514.07531660693</v>
      </c>
      <c r="K93" s="205">
        <f>K94</f>
        <v>4336.78</v>
      </c>
      <c r="L93" s="205">
        <f t="shared" ref="L93:M93" si="25">L94</f>
        <v>0</v>
      </c>
      <c r="M93" s="205">
        <f t="shared" si="25"/>
        <v>0</v>
      </c>
      <c r="N93" s="205"/>
      <c r="O93" s="205">
        <f t="shared" si="23"/>
        <v>21850.855316606929</v>
      </c>
    </row>
    <row r="94" spans="1:16" ht="16.5" x14ac:dyDescent="0.25">
      <c r="A94" s="449" t="s">
        <v>269</v>
      </c>
      <c r="B94" s="450"/>
      <c r="C94" s="450"/>
      <c r="D94" s="450"/>
      <c r="E94" s="450"/>
      <c r="F94" s="450"/>
      <c r="G94" s="450"/>
      <c r="H94" s="450"/>
      <c r="I94" s="451"/>
      <c r="J94" s="173">
        <f>19561.7+6578.14-J85+3222.68</f>
        <v>17514.07531660693</v>
      </c>
      <c r="K94" s="173">
        <f>4155.15+141.35+40.28</f>
        <v>4336.78</v>
      </c>
      <c r="L94" s="173"/>
      <c r="M94" s="173"/>
      <c r="N94" s="173"/>
      <c r="O94" s="173">
        <f t="shared" si="23"/>
        <v>21850.855316606929</v>
      </c>
      <c r="P94" s="31"/>
    </row>
    <row r="95" spans="1:16" ht="16.5" x14ac:dyDescent="0.25">
      <c r="A95" s="467" t="s">
        <v>183</v>
      </c>
      <c r="B95" s="467"/>
      <c r="C95" s="467"/>
      <c r="D95" s="467"/>
      <c r="E95" s="467"/>
      <c r="F95" s="467"/>
      <c r="G95" s="467"/>
      <c r="H95" s="467"/>
      <c r="I95" s="467"/>
      <c r="J95" s="247">
        <f>J78+J83</f>
        <v>42568.17</v>
      </c>
      <c r="K95" s="247">
        <f t="shared" ref="K95:O95" si="26">K78+K83</f>
        <v>10812.81</v>
      </c>
      <c r="L95" s="247">
        <f t="shared" si="26"/>
        <v>0</v>
      </c>
      <c r="M95" s="247">
        <f t="shared" si="26"/>
        <v>0</v>
      </c>
      <c r="N95" s="247">
        <f t="shared" si="26"/>
        <v>0</v>
      </c>
      <c r="O95" s="247">
        <f t="shared" si="26"/>
        <v>53380.98</v>
      </c>
    </row>
    <row r="96" spans="1:16" ht="16.5" x14ac:dyDescent="0.25">
      <c r="A96" s="414" t="s">
        <v>113</v>
      </c>
      <c r="B96" s="415"/>
      <c r="C96" s="415"/>
      <c r="D96" s="415"/>
      <c r="E96" s="415"/>
      <c r="F96" s="415"/>
      <c r="G96" s="415"/>
      <c r="H96" s="415"/>
      <c r="I96" s="416"/>
      <c r="J96" s="200"/>
      <c r="K96" s="200"/>
      <c r="L96" s="200"/>
      <c r="M96" s="200"/>
      <c r="N96" s="200"/>
      <c r="O96" s="200"/>
    </row>
    <row r="97" spans="1:15" ht="16.5" x14ac:dyDescent="0.25">
      <c r="A97" s="169"/>
      <c r="B97" s="169"/>
      <c r="C97" s="169"/>
      <c r="D97" s="169"/>
      <c r="E97" s="169"/>
      <c r="F97" s="169"/>
      <c r="G97" s="169"/>
      <c r="H97" s="169"/>
      <c r="I97" s="169"/>
      <c r="J97" s="169"/>
      <c r="K97" s="169"/>
      <c r="L97" s="169"/>
      <c r="N97" s="169"/>
      <c r="O97" s="169"/>
    </row>
    <row r="98" spans="1:15" ht="16.5" x14ac:dyDescent="0.25">
      <c r="A98" s="169"/>
      <c r="B98" s="169"/>
      <c r="C98" s="169"/>
      <c r="D98" s="169"/>
      <c r="E98" s="169"/>
      <c r="F98" s="169"/>
      <c r="G98" s="169"/>
      <c r="H98" s="169"/>
      <c r="I98" s="169"/>
      <c r="J98" s="169"/>
      <c r="K98" s="169"/>
      <c r="L98" s="169"/>
      <c r="M98" s="169" t="s">
        <v>334</v>
      </c>
      <c r="N98" s="169"/>
      <c r="O98" s="169"/>
    </row>
    <row r="99" spans="1:15" ht="33" x14ac:dyDescent="0.25">
      <c r="A99" s="455" t="s">
        <v>315</v>
      </c>
      <c r="B99" s="456"/>
      <c r="C99" s="456"/>
      <c r="D99" s="456"/>
      <c r="E99" s="456"/>
      <c r="F99" s="456"/>
      <c r="G99" s="456"/>
      <c r="H99" s="456"/>
      <c r="I99" s="457"/>
      <c r="J99" s="164" t="s">
        <v>185</v>
      </c>
      <c r="K99" s="164" t="s">
        <v>186</v>
      </c>
      <c r="L99" s="165" t="s">
        <v>187</v>
      </c>
      <c r="M99" s="164" t="s">
        <v>188</v>
      </c>
      <c r="N99" s="164" t="s">
        <v>189</v>
      </c>
      <c r="O99" s="164" t="s">
        <v>183</v>
      </c>
    </row>
    <row r="100" spans="1:15" ht="16.5" x14ac:dyDescent="0.25">
      <c r="A100" s="444" t="s">
        <v>279</v>
      </c>
      <c r="B100" s="444"/>
      <c r="C100" s="444"/>
      <c r="D100" s="444"/>
      <c r="E100" s="444"/>
      <c r="F100" s="444"/>
      <c r="G100" s="444"/>
      <c r="H100" s="444"/>
      <c r="I100" s="444"/>
      <c r="J100" s="444"/>
      <c r="K100" s="444"/>
      <c r="L100" s="444"/>
      <c r="M100" s="444"/>
      <c r="N100" s="444"/>
      <c r="O100" s="444"/>
    </row>
    <row r="101" spans="1:15" ht="16.5" x14ac:dyDescent="0.25">
      <c r="A101" s="444" t="s">
        <v>170</v>
      </c>
      <c r="B101" s="444"/>
      <c r="C101" s="444"/>
      <c r="D101" s="444"/>
      <c r="E101" s="444"/>
      <c r="F101" s="444"/>
      <c r="G101" s="444"/>
      <c r="H101" s="444"/>
      <c r="I101" s="444"/>
      <c r="J101" s="175">
        <f>J102+J103+J105</f>
        <v>261519.86</v>
      </c>
      <c r="K101" s="175">
        <f>K102+K103+K105</f>
        <v>152169.91999999998</v>
      </c>
      <c r="L101" s="175">
        <f t="shared" ref="L101:O101" si="27">L102+L103+L105</f>
        <v>371072.88</v>
      </c>
      <c r="M101" s="175">
        <f t="shared" si="27"/>
        <v>0</v>
      </c>
      <c r="N101" s="175">
        <f t="shared" si="27"/>
        <v>166250.25</v>
      </c>
      <c r="O101" s="175">
        <f t="shared" si="27"/>
        <v>951012.91</v>
      </c>
    </row>
    <row r="102" spans="1:15" ht="16.5" x14ac:dyDescent="0.25">
      <c r="A102" s="440" t="s">
        <v>259</v>
      </c>
      <c r="B102" s="441"/>
      <c r="C102" s="441"/>
      <c r="D102" s="441"/>
      <c r="E102" s="441"/>
      <c r="F102" s="441"/>
      <c r="G102" s="441"/>
      <c r="H102" s="441"/>
      <c r="I102" s="441"/>
      <c r="J102" s="172"/>
      <c r="K102" s="172"/>
      <c r="L102" s="172"/>
      <c r="M102" s="172"/>
      <c r="N102" s="172"/>
      <c r="O102" s="168"/>
    </row>
    <row r="103" spans="1:15" ht="16.5" x14ac:dyDescent="0.25">
      <c r="A103" s="442" t="s">
        <v>260</v>
      </c>
      <c r="B103" s="442"/>
      <c r="C103" s="442"/>
      <c r="D103" s="442"/>
      <c r="E103" s="442"/>
      <c r="F103" s="442"/>
      <c r="G103" s="442"/>
      <c r="H103" s="442"/>
      <c r="I103" s="442"/>
      <c r="J103" s="168">
        <f>J104</f>
        <v>53262.15</v>
      </c>
      <c r="K103" s="168">
        <f t="shared" ref="K103:N103" si="28">K104</f>
        <v>46646.25</v>
      </c>
      <c r="L103" s="168">
        <f t="shared" si="28"/>
        <v>105860.11</v>
      </c>
      <c r="M103" s="168">
        <f t="shared" si="28"/>
        <v>0</v>
      </c>
      <c r="N103" s="168">
        <f t="shared" si="28"/>
        <v>41660.14</v>
      </c>
      <c r="O103" s="168">
        <f>SUM(J103:N103)</f>
        <v>247428.65000000002</v>
      </c>
    </row>
    <row r="104" spans="1:15" ht="16.5" x14ac:dyDescent="0.25">
      <c r="A104" s="443" t="s">
        <v>261</v>
      </c>
      <c r="B104" s="443"/>
      <c r="C104" s="443"/>
      <c r="D104" s="443"/>
      <c r="E104" s="443"/>
      <c r="F104" s="443"/>
      <c r="G104" s="443"/>
      <c r="H104" s="443"/>
      <c r="I104" s="443"/>
      <c r="J104" s="168">
        <v>53262.15</v>
      </c>
      <c r="K104" s="168">
        <v>46646.25</v>
      </c>
      <c r="L104" s="168">
        <v>105860.11</v>
      </c>
      <c r="M104" s="168"/>
      <c r="N104" s="168">
        <v>41660.14</v>
      </c>
      <c r="O104" s="168">
        <f t="shared" ref="O104:O105" si="29">SUM(J104:N104)</f>
        <v>247428.65000000002</v>
      </c>
    </row>
    <row r="105" spans="1:15" ht="16.5" x14ac:dyDescent="0.25">
      <c r="A105" s="442" t="s">
        <v>262</v>
      </c>
      <c r="B105" s="442"/>
      <c r="C105" s="442"/>
      <c r="D105" s="442"/>
      <c r="E105" s="442"/>
      <c r="F105" s="442"/>
      <c r="G105" s="442"/>
      <c r="H105" s="442"/>
      <c r="I105" s="442"/>
      <c r="J105" s="168">
        <f>208257.71</f>
        <v>208257.71</v>
      </c>
      <c r="K105" s="168">
        <f>105523.67</f>
        <v>105523.67</v>
      </c>
      <c r="L105" s="168">
        <f>265212.77</f>
        <v>265212.77</v>
      </c>
      <c r="M105" s="168"/>
      <c r="N105" s="168">
        <f>124590.11</f>
        <v>124590.11</v>
      </c>
      <c r="O105" s="168">
        <f t="shared" si="29"/>
        <v>703584.26</v>
      </c>
    </row>
    <row r="106" spans="1:15" ht="16.5" x14ac:dyDescent="0.25">
      <c r="A106" s="467" t="s">
        <v>177</v>
      </c>
      <c r="B106" s="467"/>
      <c r="C106" s="467"/>
      <c r="D106" s="467"/>
      <c r="E106" s="467"/>
      <c r="F106" s="467"/>
      <c r="G106" s="467"/>
      <c r="H106" s="467"/>
      <c r="I106" s="467"/>
      <c r="J106" s="175">
        <f>J107+J108+J112+J113+J114+J116</f>
        <v>869761.92999999993</v>
      </c>
      <c r="K106" s="175">
        <f>K107+K108+K112+K113+K114+K116</f>
        <v>107337.49999999999</v>
      </c>
      <c r="L106" s="175">
        <f t="shared" ref="L106:N106" si="30">L107+L108+L112+L113+L114+L116</f>
        <v>2573189.9299999997</v>
      </c>
      <c r="M106" s="175">
        <f t="shared" si="30"/>
        <v>0</v>
      </c>
      <c r="N106" s="175">
        <f t="shared" si="30"/>
        <v>677363.19999999995</v>
      </c>
      <c r="O106" s="175">
        <f>SUM(J106:N106)</f>
        <v>4227652.5599999996</v>
      </c>
    </row>
    <row r="107" spans="1:15" ht="16.5" x14ac:dyDescent="0.25">
      <c r="A107" s="443" t="s">
        <v>264</v>
      </c>
      <c r="B107" s="443"/>
      <c r="C107" s="443"/>
      <c r="D107" s="443"/>
      <c r="E107" s="443"/>
      <c r="F107" s="443"/>
      <c r="G107" s="443"/>
      <c r="H107" s="443"/>
      <c r="I107" s="443"/>
      <c r="J107" s="168"/>
      <c r="K107" s="168"/>
      <c r="L107" s="168"/>
      <c r="M107" s="168"/>
      <c r="N107" s="168"/>
      <c r="O107" s="168">
        <f t="shared" ref="O107:O117" si="31">SUM(J107:N107)</f>
        <v>0</v>
      </c>
    </row>
    <row r="108" spans="1:15" ht="16.5" x14ac:dyDescent="0.25">
      <c r="A108" s="442" t="s">
        <v>265</v>
      </c>
      <c r="B108" s="442"/>
      <c r="C108" s="442"/>
      <c r="D108" s="442"/>
      <c r="E108" s="442"/>
      <c r="F108" s="442"/>
      <c r="G108" s="442"/>
      <c r="H108" s="442"/>
      <c r="I108" s="442"/>
      <c r="J108" s="168">
        <f>J109+J110+J111</f>
        <v>313983.78410991631</v>
      </c>
      <c r="K108" s="168">
        <f t="shared" ref="K108:N108" si="32">K109+K110+K111</f>
        <v>0</v>
      </c>
      <c r="L108" s="168">
        <f t="shared" si="32"/>
        <v>706983.19148936169</v>
      </c>
      <c r="M108" s="168"/>
      <c r="N108" s="168">
        <f t="shared" si="32"/>
        <v>213843.81978021978</v>
      </c>
      <c r="O108" s="168">
        <f t="shared" si="31"/>
        <v>1234810.7953794978</v>
      </c>
    </row>
    <row r="109" spans="1:15" ht="16.5" x14ac:dyDescent="0.25">
      <c r="A109" s="442" t="s">
        <v>172</v>
      </c>
      <c r="B109" s="442"/>
      <c r="C109" s="442"/>
      <c r="D109" s="442"/>
      <c r="E109" s="442"/>
      <c r="F109" s="442"/>
      <c r="G109" s="442"/>
      <c r="H109" s="442"/>
      <c r="I109" s="442"/>
      <c r="J109" s="168">
        <f>1222534/G13*G9*90%</f>
        <v>69671.292473118272</v>
      </c>
      <c r="K109" s="168"/>
      <c r="L109" s="168">
        <f>2593253/O10*O8*90%</f>
        <v>413816.96808510635</v>
      </c>
      <c r="M109" s="168"/>
      <c r="N109" s="168">
        <f>592744/W13*W8*90%</f>
        <v>64485.336263736273</v>
      </c>
      <c r="O109" s="168">
        <f t="shared" si="31"/>
        <v>547973.59682196088</v>
      </c>
    </row>
    <row r="110" spans="1:15" ht="16.5" x14ac:dyDescent="0.25">
      <c r="A110" s="442" t="s">
        <v>173</v>
      </c>
      <c r="B110" s="442"/>
      <c r="C110" s="442"/>
      <c r="D110" s="442"/>
      <c r="E110" s="442"/>
      <c r="F110" s="442"/>
      <c r="G110" s="442"/>
      <c r="H110" s="442"/>
      <c r="I110" s="442"/>
      <c r="J110" s="168">
        <f>6098553/G13*G9*50%</f>
        <v>193084.41397849462</v>
      </c>
      <c r="K110" s="168"/>
      <c r="L110" s="168">
        <f>2178055/O10*O8*50%</f>
        <v>193089.98226950355</v>
      </c>
      <c r="M110" s="168"/>
      <c r="N110" s="168">
        <f>1982030/W13*W8*50%</f>
        <v>119793.02197802198</v>
      </c>
      <c r="O110" s="168">
        <f t="shared" si="31"/>
        <v>505967.41822602018</v>
      </c>
    </row>
    <row r="111" spans="1:15" ht="16.5" x14ac:dyDescent="0.25">
      <c r="A111" s="442" t="s">
        <v>174</v>
      </c>
      <c r="B111" s="442"/>
      <c r="C111" s="442"/>
      <c r="D111" s="442"/>
      <c r="E111" s="442"/>
      <c r="F111" s="442"/>
      <c r="G111" s="442"/>
      <c r="H111" s="442"/>
      <c r="I111" s="442"/>
      <c r="J111" s="168">
        <f>(358768+450249)/G13*G9</f>
        <v>51228.07765830346</v>
      </c>
      <c r="K111" s="168"/>
      <c r="L111" s="168">
        <f>(250303+314127)/O10*O8</f>
        <v>100076.24113475178</v>
      </c>
      <c r="M111" s="168"/>
      <c r="N111" s="168">
        <f>(108465+136122)/W13*W8</f>
        <v>29565.461538461539</v>
      </c>
      <c r="O111" s="168">
        <f t="shared" si="31"/>
        <v>180869.78033151678</v>
      </c>
    </row>
    <row r="112" spans="1:15" ht="16.5" x14ac:dyDescent="0.25">
      <c r="A112" s="442" t="s">
        <v>266</v>
      </c>
      <c r="B112" s="442"/>
      <c r="C112" s="442"/>
      <c r="D112" s="442"/>
      <c r="E112" s="442"/>
      <c r="F112" s="442"/>
      <c r="G112" s="442"/>
      <c r="H112" s="442"/>
      <c r="I112" s="442"/>
      <c r="J112" s="168"/>
      <c r="K112" s="168"/>
      <c r="L112" s="168"/>
      <c r="M112" s="168"/>
      <c r="N112" s="168"/>
      <c r="O112" s="168">
        <f t="shared" si="31"/>
        <v>0</v>
      </c>
    </row>
    <row r="113" spans="1:17" ht="16.5" x14ac:dyDescent="0.25">
      <c r="A113" s="442" t="s">
        <v>267</v>
      </c>
      <c r="B113" s="442"/>
      <c r="C113" s="442"/>
      <c r="D113" s="442"/>
      <c r="E113" s="442"/>
      <c r="F113" s="442"/>
      <c r="G113" s="442"/>
      <c r="H113" s="442"/>
      <c r="I113" s="442"/>
      <c r="J113" s="168"/>
      <c r="K113" s="168"/>
      <c r="L113" s="168"/>
      <c r="M113" s="168"/>
      <c r="N113" s="168"/>
      <c r="O113" s="168">
        <f t="shared" si="31"/>
        <v>0</v>
      </c>
    </row>
    <row r="114" spans="1:17" ht="16.5" x14ac:dyDescent="0.25">
      <c r="A114" s="443" t="s">
        <v>268</v>
      </c>
      <c r="B114" s="443"/>
      <c r="C114" s="443"/>
      <c r="D114" s="443"/>
      <c r="E114" s="443"/>
      <c r="F114" s="443"/>
      <c r="G114" s="443"/>
      <c r="H114" s="443"/>
      <c r="I114" s="443"/>
      <c r="J114" s="175">
        <f>J115</f>
        <v>88429.9</v>
      </c>
      <c r="K114" s="175">
        <f>K115</f>
        <v>3254.84</v>
      </c>
      <c r="L114" s="175">
        <f t="shared" ref="L114:N114" si="33">L115</f>
        <v>821598.94000000006</v>
      </c>
      <c r="M114" s="175">
        <f t="shared" si="33"/>
        <v>0</v>
      </c>
      <c r="N114" s="175">
        <f t="shared" si="33"/>
        <v>52455.01</v>
      </c>
      <c r="O114" s="175">
        <f t="shared" si="31"/>
        <v>965738.69000000006</v>
      </c>
    </row>
    <row r="115" spans="1:17" ht="16.5" x14ac:dyDescent="0.25">
      <c r="A115" s="443" t="s">
        <v>271</v>
      </c>
      <c r="B115" s="443"/>
      <c r="C115" s="443"/>
      <c r="D115" s="443"/>
      <c r="E115" s="443"/>
      <c r="F115" s="443"/>
      <c r="G115" s="443"/>
      <c r="H115" s="443"/>
      <c r="I115" s="443"/>
      <c r="J115" s="168">
        <f>60293.61+28136.29</f>
        <v>88429.9</v>
      </c>
      <c r="K115" s="168">
        <v>3254.84</v>
      </c>
      <c r="L115" s="168">
        <f>125145.04+696453.9</f>
        <v>821598.94000000006</v>
      </c>
      <c r="M115" s="168"/>
      <c r="N115" s="168">
        <v>52455.01</v>
      </c>
      <c r="O115" s="168">
        <f t="shared" si="31"/>
        <v>965738.69000000006</v>
      </c>
    </row>
    <row r="116" spans="1:17" ht="16.5" x14ac:dyDescent="0.25">
      <c r="A116" s="442" t="s">
        <v>270</v>
      </c>
      <c r="B116" s="442"/>
      <c r="C116" s="442"/>
      <c r="D116" s="442"/>
      <c r="E116" s="442"/>
      <c r="F116" s="442"/>
      <c r="G116" s="442"/>
      <c r="H116" s="442"/>
      <c r="I116" s="442"/>
      <c r="J116" s="175">
        <f>J117</f>
        <v>467348.24589008366</v>
      </c>
      <c r="K116" s="175">
        <f>K117</f>
        <v>104082.65999999999</v>
      </c>
      <c r="L116" s="175">
        <f>L117</f>
        <v>1044607.7985106382</v>
      </c>
      <c r="M116" s="175">
        <f t="shared" ref="M116:N116" si="34">M117</f>
        <v>0</v>
      </c>
      <c r="N116" s="175">
        <f t="shared" si="34"/>
        <v>411064.37021978025</v>
      </c>
      <c r="O116" s="175">
        <f t="shared" si="31"/>
        <v>2027103.0746205021</v>
      </c>
    </row>
    <row r="117" spans="1:17" ht="16.5" x14ac:dyDescent="0.25">
      <c r="A117" s="443" t="s">
        <v>269</v>
      </c>
      <c r="B117" s="443"/>
      <c r="C117" s="443"/>
      <c r="D117" s="443"/>
      <c r="E117" s="443"/>
      <c r="F117" s="443"/>
      <c r="G117" s="443"/>
      <c r="H117" s="443"/>
      <c r="I117" s="443"/>
      <c r="J117" s="168">
        <f>518384.96+3225.3+174320.85-J108+85400.92</f>
        <v>467348.24589008366</v>
      </c>
      <c r="K117" s="168">
        <f>99723.65+3392.23+966.78</f>
        <v>104082.65999999999</v>
      </c>
      <c r="L117" s="168">
        <f>993611.88+10680+206475.53-L108+540823.58</f>
        <v>1044607.7985106382</v>
      </c>
      <c r="M117" s="168"/>
      <c r="N117" s="168">
        <f>380478.4+98181.41+3626.37-N108+142622.01</f>
        <v>411064.37021978025</v>
      </c>
      <c r="O117" s="168">
        <f t="shared" si="31"/>
        <v>2027103.0746205021</v>
      </c>
    </row>
    <row r="118" spans="1:17" ht="16.5" x14ac:dyDescent="0.25">
      <c r="A118" s="467" t="s">
        <v>183</v>
      </c>
      <c r="B118" s="467"/>
      <c r="C118" s="467"/>
      <c r="D118" s="467"/>
      <c r="E118" s="467"/>
      <c r="F118" s="467"/>
      <c r="G118" s="467"/>
      <c r="H118" s="467"/>
      <c r="I118" s="467"/>
      <c r="J118" s="247">
        <f>J101+J106</f>
        <v>1131281.79</v>
      </c>
      <c r="K118" s="247">
        <f t="shared" ref="K118:O118" si="35">K101+K106</f>
        <v>259507.41999999998</v>
      </c>
      <c r="L118" s="247">
        <f t="shared" si="35"/>
        <v>2944262.8099999996</v>
      </c>
      <c r="M118" s="247">
        <f t="shared" si="35"/>
        <v>0</v>
      </c>
      <c r="N118" s="247">
        <f t="shared" si="35"/>
        <v>843613.45</v>
      </c>
      <c r="O118" s="247">
        <f t="shared" si="35"/>
        <v>5178665.47</v>
      </c>
      <c r="Q118" s="31"/>
    </row>
    <row r="119" spans="1:17" ht="16.5" x14ac:dyDescent="0.25">
      <c r="A119" s="433" t="s">
        <v>113</v>
      </c>
      <c r="B119" s="434"/>
      <c r="C119" s="434"/>
      <c r="D119" s="434"/>
      <c r="E119" s="434"/>
      <c r="F119" s="434"/>
      <c r="G119" s="434"/>
      <c r="H119" s="434"/>
      <c r="I119" s="435"/>
      <c r="J119" s="173">
        <f>J118/G9</f>
        <v>21344.939433962263</v>
      </c>
      <c r="K119" s="173">
        <f>K118/K8</f>
        <v>10812.809166666666</v>
      </c>
      <c r="L119" s="173">
        <f>L118/O8</f>
        <v>58885.256199999989</v>
      </c>
      <c r="M119" s="173">
        <f>M118/1</f>
        <v>0</v>
      </c>
      <c r="N119" s="173">
        <f>N118/W8</f>
        <v>76692.131818181821</v>
      </c>
      <c r="O119" s="173"/>
    </row>
    <row r="120" spans="1:17" ht="18" customHeight="1" x14ac:dyDescent="0.25">
      <c r="A120" s="169"/>
      <c r="B120" s="169"/>
      <c r="C120" s="169"/>
      <c r="D120" s="169"/>
      <c r="E120" s="169"/>
      <c r="F120" s="169"/>
      <c r="G120" s="169"/>
      <c r="H120" s="169"/>
      <c r="I120" s="169"/>
      <c r="J120" s="169"/>
      <c r="K120" s="169"/>
      <c r="L120" s="169"/>
      <c r="M120" s="169"/>
      <c r="N120" s="169"/>
      <c r="O120" s="169"/>
    </row>
    <row r="121" spans="1:17" ht="16.5" x14ac:dyDescent="0.25">
      <c r="A121" s="169"/>
      <c r="B121" s="169"/>
      <c r="C121" s="169"/>
      <c r="D121" s="169"/>
      <c r="E121" s="169"/>
      <c r="F121" s="169"/>
      <c r="G121" s="169"/>
      <c r="H121" s="169"/>
      <c r="I121" s="169"/>
      <c r="J121" s="169"/>
      <c r="K121" s="169"/>
      <c r="L121" s="169" t="s">
        <v>335</v>
      </c>
      <c r="M121" s="169"/>
      <c r="N121" s="169"/>
      <c r="O121" s="169"/>
    </row>
    <row r="122" spans="1:17" ht="33" x14ac:dyDescent="0.25">
      <c r="A122" s="455" t="s">
        <v>315</v>
      </c>
      <c r="B122" s="456"/>
      <c r="C122" s="456"/>
      <c r="D122" s="456"/>
      <c r="E122" s="456"/>
      <c r="F122" s="456"/>
      <c r="G122" s="456"/>
      <c r="H122" s="456"/>
      <c r="I122" s="457"/>
      <c r="J122" s="164" t="s">
        <v>185</v>
      </c>
      <c r="K122" s="164" t="s">
        <v>186</v>
      </c>
      <c r="L122" s="165" t="s">
        <v>187</v>
      </c>
      <c r="M122" s="164" t="s">
        <v>188</v>
      </c>
      <c r="N122" s="164" t="s">
        <v>189</v>
      </c>
      <c r="O122" s="164" t="s">
        <v>183</v>
      </c>
    </row>
    <row r="123" spans="1:17" ht="16.5" x14ac:dyDescent="0.25">
      <c r="A123" s="458" t="s">
        <v>280</v>
      </c>
      <c r="B123" s="459"/>
      <c r="C123" s="459"/>
      <c r="D123" s="459"/>
      <c r="E123" s="459"/>
      <c r="F123" s="459"/>
      <c r="G123" s="459"/>
      <c r="H123" s="459"/>
      <c r="I123" s="459"/>
      <c r="J123" s="459"/>
      <c r="K123" s="459"/>
      <c r="L123" s="459"/>
      <c r="M123" s="459"/>
      <c r="N123" s="459"/>
      <c r="O123" s="460"/>
    </row>
    <row r="124" spans="1:17" ht="16.5" x14ac:dyDescent="0.25">
      <c r="A124" s="458" t="s">
        <v>170</v>
      </c>
      <c r="B124" s="459"/>
      <c r="C124" s="459"/>
      <c r="D124" s="459"/>
      <c r="E124" s="459"/>
      <c r="F124" s="459"/>
      <c r="G124" s="459"/>
      <c r="H124" s="459"/>
      <c r="I124" s="460"/>
      <c r="J124" s="175">
        <f>J125+J126+J128</f>
        <v>236848.16999999998</v>
      </c>
      <c r="K124" s="175">
        <f>K125+K126+K128</f>
        <v>0</v>
      </c>
      <c r="L124" s="175">
        <f t="shared" ref="L124:N124" si="36">L125+L126+L128</f>
        <v>0</v>
      </c>
      <c r="M124" s="175">
        <f t="shared" si="36"/>
        <v>0</v>
      </c>
      <c r="N124" s="175">
        <f t="shared" si="36"/>
        <v>0</v>
      </c>
      <c r="O124" s="175">
        <f>SUM(J124:N124)</f>
        <v>236848.16999999998</v>
      </c>
    </row>
    <row r="125" spans="1:17" ht="16.5" x14ac:dyDescent="0.25">
      <c r="A125" s="461" t="s">
        <v>259</v>
      </c>
      <c r="B125" s="462"/>
      <c r="C125" s="462"/>
      <c r="D125" s="462"/>
      <c r="E125" s="462"/>
      <c r="F125" s="462"/>
      <c r="G125" s="462"/>
      <c r="H125" s="462"/>
      <c r="I125" s="463"/>
      <c r="J125" s="172"/>
      <c r="K125" s="172"/>
      <c r="L125" s="172"/>
      <c r="M125" s="172"/>
      <c r="N125" s="172"/>
      <c r="O125" s="168">
        <f t="shared" ref="O125:O128" si="37">SUM(J125:N125)</f>
        <v>0</v>
      </c>
    </row>
    <row r="126" spans="1:17" ht="16.5" x14ac:dyDescent="0.25">
      <c r="A126" s="433" t="s">
        <v>260</v>
      </c>
      <c r="B126" s="434"/>
      <c r="C126" s="434"/>
      <c r="D126" s="434"/>
      <c r="E126" s="434"/>
      <c r="F126" s="434"/>
      <c r="G126" s="434"/>
      <c r="H126" s="434"/>
      <c r="I126" s="435"/>
      <c r="J126" s="176">
        <f>J127</f>
        <v>48237.42</v>
      </c>
      <c r="K126" s="176">
        <f>K127</f>
        <v>0</v>
      </c>
      <c r="L126" s="176">
        <f t="shared" ref="L126:N126" si="38">L127</f>
        <v>0</v>
      </c>
      <c r="M126" s="176">
        <f t="shared" si="38"/>
        <v>0</v>
      </c>
      <c r="N126" s="176">
        <f t="shared" si="38"/>
        <v>0</v>
      </c>
      <c r="O126" s="168">
        <f t="shared" si="37"/>
        <v>48237.42</v>
      </c>
    </row>
    <row r="127" spans="1:17" ht="16.5" x14ac:dyDescent="0.25">
      <c r="A127" s="449" t="s">
        <v>261</v>
      </c>
      <c r="B127" s="450"/>
      <c r="C127" s="450"/>
      <c r="D127" s="450"/>
      <c r="E127" s="450"/>
      <c r="F127" s="450"/>
      <c r="G127" s="450"/>
      <c r="H127" s="450"/>
      <c r="I127" s="451"/>
      <c r="J127" s="168">
        <v>48237.42</v>
      </c>
      <c r="K127" s="168"/>
      <c r="L127" s="168"/>
      <c r="M127" s="168"/>
      <c r="N127" s="168"/>
      <c r="O127" s="168">
        <f t="shared" si="37"/>
        <v>48237.42</v>
      </c>
    </row>
    <row r="128" spans="1:17" ht="16.5" x14ac:dyDescent="0.25">
      <c r="A128" s="433" t="s">
        <v>262</v>
      </c>
      <c r="B128" s="434"/>
      <c r="C128" s="434"/>
      <c r="D128" s="434"/>
      <c r="E128" s="434"/>
      <c r="F128" s="434"/>
      <c r="G128" s="434"/>
      <c r="H128" s="434"/>
      <c r="I128" s="435"/>
      <c r="J128" s="168">
        <f>188610.75</f>
        <v>188610.75</v>
      </c>
      <c r="K128" s="168"/>
      <c r="L128" s="168"/>
      <c r="M128" s="168"/>
      <c r="N128" s="168"/>
      <c r="O128" s="168">
        <f t="shared" si="37"/>
        <v>188610.75</v>
      </c>
    </row>
    <row r="129" spans="1:15" ht="16.5" x14ac:dyDescent="0.25">
      <c r="A129" s="452" t="s">
        <v>177</v>
      </c>
      <c r="B129" s="453"/>
      <c r="C129" s="453"/>
      <c r="D129" s="453"/>
      <c r="E129" s="453"/>
      <c r="F129" s="453"/>
      <c r="G129" s="453"/>
      <c r="H129" s="453"/>
      <c r="I129" s="454"/>
      <c r="J129" s="175">
        <f>J130+J131+J135+J136+J137+J139</f>
        <v>784787.89999999991</v>
      </c>
      <c r="K129" s="175">
        <f>K130+K131+K135+K136+K137+K139</f>
        <v>0</v>
      </c>
      <c r="L129" s="175">
        <f t="shared" ref="L129:N129" si="39">L130+L131+L135+L136+L137+L139</f>
        <v>0</v>
      </c>
      <c r="M129" s="175">
        <f t="shared" si="39"/>
        <v>0</v>
      </c>
      <c r="N129" s="175">
        <f t="shared" si="39"/>
        <v>0</v>
      </c>
      <c r="O129" s="175">
        <f>SUM(J129:N129)</f>
        <v>784787.89999999991</v>
      </c>
    </row>
    <row r="130" spans="1:15" ht="16.5" x14ac:dyDescent="0.25">
      <c r="A130" s="449" t="s">
        <v>264</v>
      </c>
      <c r="B130" s="450"/>
      <c r="C130" s="450"/>
      <c r="D130" s="450"/>
      <c r="E130" s="450"/>
      <c r="F130" s="450"/>
      <c r="G130" s="450"/>
      <c r="H130" s="450"/>
      <c r="I130" s="451"/>
      <c r="J130" s="168"/>
      <c r="K130" s="168"/>
      <c r="L130" s="168"/>
      <c r="M130" s="168"/>
      <c r="N130" s="168"/>
      <c r="O130" s="168">
        <f t="shared" ref="O130:O140" si="40">SUM(J130:N130)</f>
        <v>0</v>
      </c>
    </row>
    <row r="131" spans="1:15" ht="16.5" x14ac:dyDescent="0.25">
      <c r="A131" s="433" t="s">
        <v>265</v>
      </c>
      <c r="B131" s="434"/>
      <c r="C131" s="434"/>
      <c r="D131" s="434"/>
      <c r="E131" s="434"/>
      <c r="F131" s="434"/>
      <c r="G131" s="434"/>
      <c r="H131" s="434"/>
      <c r="I131" s="435"/>
      <c r="J131" s="168">
        <f>J132+J133+J134</f>
        <v>284362.72974910395</v>
      </c>
      <c r="K131" s="168">
        <f t="shared" ref="K131:N131" si="41">K132+K133+K134</f>
        <v>0</v>
      </c>
      <c r="L131" s="168">
        <f t="shared" si="41"/>
        <v>0</v>
      </c>
      <c r="M131" s="168">
        <f t="shared" si="41"/>
        <v>0</v>
      </c>
      <c r="N131" s="168">
        <f t="shared" si="41"/>
        <v>0</v>
      </c>
      <c r="O131" s="168">
        <f t="shared" si="40"/>
        <v>284362.72974910395</v>
      </c>
    </row>
    <row r="132" spans="1:15" ht="16.5" x14ac:dyDescent="0.25">
      <c r="A132" s="433" t="s">
        <v>172</v>
      </c>
      <c r="B132" s="434"/>
      <c r="C132" s="434"/>
      <c r="D132" s="434"/>
      <c r="E132" s="434"/>
      <c r="F132" s="434"/>
      <c r="G132" s="434"/>
      <c r="H132" s="434"/>
      <c r="I132" s="435"/>
      <c r="J132" s="168">
        <f>1222534/G13*G10*90%</f>
        <v>63098.529032258062</v>
      </c>
      <c r="K132" s="168"/>
      <c r="L132" s="168"/>
      <c r="M132" s="168"/>
      <c r="N132" s="168"/>
      <c r="O132" s="168">
        <f t="shared" si="40"/>
        <v>63098.529032258062</v>
      </c>
    </row>
    <row r="133" spans="1:15" ht="16.5" x14ac:dyDescent="0.25">
      <c r="A133" s="433" t="s">
        <v>173</v>
      </c>
      <c r="B133" s="434"/>
      <c r="C133" s="434"/>
      <c r="D133" s="434"/>
      <c r="E133" s="434"/>
      <c r="F133" s="434"/>
      <c r="G133" s="434"/>
      <c r="H133" s="434"/>
      <c r="I133" s="435"/>
      <c r="J133" s="168">
        <f>6098553/G13*G10*50%</f>
        <v>174868.90322580645</v>
      </c>
      <c r="K133" s="168"/>
      <c r="L133" s="168"/>
      <c r="M133" s="168"/>
      <c r="N133" s="168"/>
      <c r="O133" s="168">
        <f t="shared" si="40"/>
        <v>174868.90322580645</v>
      </c>
    </row>
    <row r="134" spans="1:15" ht="16.5" x14ac:dyDescent="0.25">
      <c r="A134" s="433" t="s">
        <v>174</v>
      </c>
      <c r="B134" s="434"/>
      <c r="C134" s="434"/>
      <c r="D134" s="434"/>
      <c r="E134" s="434"/>
      <c r="F134" s="434"/>
      <c r="G134" s="434"/>
      <c r="H134" s="434"/>
      <c r="I134" s="435"/>
      <c r="J134" s="168">
        <f>(358769+450249)/G13*G10</f>
        <v>46395.297491039426</v>
      </c>
      <c r="K134" s="168"/>
      <c r="L134" s="168"/>
      <c r="M134" s="168"/>
      <c r="N134" s="168"/>
      <c r="O134" s="168">
        <f t="shared" si="40"/>
        <v>46395.297491039426</v>
      </c>
    </row>
    <row r="135" spans="1:15" ht="16.5" x14ac:dyDescent="0.25">
      <c r="A135" s="433" t="s">
        <v>266</v>
      </c>
      <c r="B135" s="434"/>
      <c r="C135" s="434"/>
      <c r="D135" s="434"/>
      <c r="E135" s="434"/>
      <c r="F135" s="434"/>
      <c r="G135" s="434"/>
      <c r="H135" s="434"/>
      <c r="I135" s="435"/>
      <c r="J135" s="168"/>
      <c r="K135" s="168"/>
      <c r="L135" s="168"/>
      <c r="M135" s="168"/>
      <c r="N135" s="168"/>
      <c r="O135" s="168">
        <f t="shared" si="40"/>
        <v>0</v>
      </c>
    </row>
    <row r="136" spans="1:15" ht="16.5" x14ac:dyDescent="0.25">
      <c r="A136" s="433" t="s">
        <v>267</v>
      </c>
      <c r="B136" s="434"/>
      <c r="C136" s="434"/>
      <c r="D136" s="434"/>
      <c r="E136" s="434"/>
      <c r="F136" s="434"/>
      <c r="G136" s="434"/>
      <c r="H136" s="434"/>
      <c r="I136" s="435"/>
      <c r="J136" s="168"/>
      <c r="K136" s="168"/>
      <c r="L136" s="168"/>
      <c r="M136" s="168"/>
      <c r="N136" s="168"/>
      <c r="O136" s="168">
        <f t="shared" si="40"/>
        <v>0</v>
      </c>
    </row>
    <row r="137" spans="1:15" ht="16.5" x14ac:dyDescent="0.25">
      <c r="A137" s="464" t="s">
        <v>268</v>
      </c>
      <c r="B137" s="465"/>
      <c r="C137" s="465"/>
      <c r="D137" s="465"/>
      <c r="E137" s="465"/>
      <c r="F137" s="465"/>
      <c r="G137" s="465"/>
      <c r="H137" s="465"/>
      <c r="I137" s="466"/>
      <c r="J137" s="175">
        <f>J138</f>
        <v>80087.45</v>
      </c>
      <c r="K137" s="175">
        <f t="shared" ref="K137:N137" si="42">K138</f>
        <v>0</v>
      </c>
      <c r="L137" s="175">
        <f t="shared" si="42"/>
        <v>0</v>
      </c>
      <c r="M137" s="175">
        <f t="shared" si="42"/>
        <v>0</v>
      </c>
      <c r="N137" s="175">
        <f t="shared" si="42"/>
        <v>0</v>
      </c>
      <c r="O137" s="175">
        <f t="shared" si="40"/>
        <v>80087.45</v>
      </c>
    </row>
    <row r="138" spans="1:15" ht="16.5" x14ac:dyDescent="0.25">
      <c r="A138" s="449" t="s">
        <v>271</v>
      </c>
      <c r="B138" s="450"/>
      <c r="C138" s="450"/>
      <c r="D138" s="450"/>
      <c r="E138" s="450"/>
      <c r="F138" s="450"/>
      <c r="G138" s="450"/>
      <c r="H138" s="450"/>
      <c r="I138" s="451"/>
      <c r="J138" s="168">
        <f>54605.53+25481.92</f>
        <v>80087.45</v>
      </c>
      <c r="K138" s="168"/>
      <c r="L138" s="168"/>
      <c r="M138" s="168"/>
      <c r="N138" s="168"/>
      <c r="O138" s="168">
        <f t="shared" si="40"/>
        <v>80087.45</v>
      </c>
    </row>
    <row r="139" spans="1:15" ht="16.5" x14ac:dyDescent="0.25">
      <c r="A139" s="433" t="s">
        <v>270</v>
      </c>
      <c r="B139" s="434"/>
      <c r="C139" s="434"/>
      <c r="D139" s="434"/>
      <c r="E139" s="434"/>
      <c r="F139" s="434"/>
      <c r="G139" s="434"/>
      <c r="H139" s="434"/>
      <c r="I139" s="435"/>
      <c r="J139" s="175">
        <f>J140</f>
        <v>420337.720250896</v>
      </c>
      <c r="K139" s="175">
        <f t="shared" ref="K139:N139" si="43">K140</f>
        <v>0</v>
      </c>
      <c r="L139" s="175">
        <f t="shared" si="43"/>
        <v>0</v>
      </c>
      <c r="M139" s="175">
        <f t="shared" si="43"/>
        <v>0</v>
      </c>
      <c r="N139" s="175">
        <f t="shared" si="43"/>
        <v>0</v>
      </c>
      <c r="O139" s="175">
        <f t="shared" si="40"/>
        <v>420337.720250896</v>
      </c>
    </row>
    <row r="140" spans="1:15" ht="16.5" x14ac:dyDescent="0.25">
      <c r="A140" s="449" t="s">
        <v>269</v>
      </c>
      <c r="B140" s="450"/>
      <c r="C140" s="450"/>
      <c r="D140" s="450"/>
      <c r="E140" s="450"/>
      <c r="F140" s="450"/>
      <c r="G140" s="450"/>
      <c r="H140" s="450"/>
      <c r="I140" s="451"/>
      <c r="J140" s="168">
        <f>469480.72+157875.5-J131+77344.23</f>
        <v>420337.720250896</v>
      </c>
      <c r="K140" s="168"/>
      <c r="L140" s="168"/>
      <c r="M140" s="168"/>
      <c r="N140" s="168"/>
      <c r="O140" s="168">
        <f t="shared" si="40"/>
        <v>420337.720250896</v>
      </c>
    </row>
    <row r="141" spans="1:15" ht="16.5" x14ac:dyDescent="0.25">
      <c r="A141" s="452" t="s">
        <v>183</v>
      </c>
      <c r="B141" s="453"/>
      <c r="C141" s="453"/>
      <c r="D141" s="453"/>
      <c r="E141" s="453"/>
      <c r="F141" s="453"/>
      <c r="G141" s="453"/>
      <c r="H141" s="453"/>
      <c r="I141" s="454"/>
      <c r="J141" s="247">
        <f>J124+J129</f>
        <v>1021636.0699999998</v>
      </c>
      <c r="K141" s="247">
        <f t="shared" ref="K141:O141" si="44">K124+K129</f>
        <v>0</v>
      </c>
      <c r="L141" s="247">
        <f t="shared" si="44"/>
        <v>0</v>
      </c>
      <c r="M141" s="247">
        <f t="shared" si="44"/>
        <v>0</v>
      </c>
      <c r="N141" s="247">
        <f t="shared" si="44"/>
        <v>0</v>
      </c>
      <c r="O141" s="247">
        <f t="shared" si="44"/>
        <v>1021636.0699999998</v>
      </c>
    </row>
    <row r="142" spans="1:15" ht="16.5" x14ac:dyDescent="0.25">
      <c r="A142" s="414" t="s">
        <v>113</v>
      </c>
      <c r="B142" s="415"/>
      <c r="C142" s="415"/>
      <c r="D142" s="415"/>
      <c r="E142" s="415"/>
      <c r="F142" s="415"/>
      <c r="G142" s="415"/>
      <c r="H142" s="415"/>
      <c r="I142" s="416"/>
      <c r="J142" s="200">
        <f>J141/24</f>
        <v>42568.169583333329</v>
      </c>
      <c r="K142" s="166"/>
      <c r="L142" s="166"/>
      <c r="M142" s="166"/>
      <c r="N142" s="166"/>
      <c r="O142" s="166"/>
    </row>
    <row r="143" spans="1:15" ht="16.5" x14ac:dyDescent="0.25">
      <c r="A143" s="169"/>
      <c r="B143" s="169"/>
      <c r="C143" s="169"/>
      <c r="D143" s="169"/>
      <c r="E143" s="169"/>
      <c r="F143" s="169"/>
      <c r="G143" s="169"/>
      <c r="H143" s="169"/>
      <c r="I143" s="169"/>
      <c r="J143" s="169"/>
      <c r="K143" s="169"/>
      <c r="L143" s="169"/>
      <c r="M143" s="169"/>
      <c r="N143" s="169"/>
      <c r="O143" s="169"/>
    </row>
    <row r="144" spans="1:15" ht="16.5" x14ac:dyDescent="0.25">
      <c r="A144" s="169"/>
      <c r="B144" s="169"/>
      <c r="C144" s="169"/>
      <c r="D144" s="169"/>
      <c r="E144" s="169"/>
      <c r="F144" s="169"/>
      <c r="G144" s="169"/>
      <c r="H144" s="169"/>
      <c r="I144" s="169"/>
      <c r="J144" s="169"/>
      <c r="K144" s="169"/>
      <c r="L144" s="169"/>
      <c r="M144" s="169" t="s">
        <v>338</v>
      </c>
      <c r="N144" s="169"/>
      <c r="O144" s="169"/>
    </row>
    <row r="145" spans="1:15" ht="33" x14ac:dyDescent="0.25">
      <c r="A145" s="455" t="s">
        <v>315</v>
      </c>
      <c r="B145" s="456"/>
      <c r="C145" s="456"/>
      <c r="D145" s="456"/>
      <c r="E145" s="456"/>
      <c r="F145" s="456"/>
      <c r="G145" s="456"/>
      <c r="H145" s="456"/>
      <c r="I145" s="457"/>
      <c r="J145" s="164" t="s">
        <v>185</v>
      </c>
      <c r="K145" s="164" t="s">
        <v>186</v>
      </c>
      <c r="L145" s="165" t="s">
        <v>187</v>
      </c>
      <c r="M145" s="164" t="s">
        <v>188</v>
      </c>
      <c r="N145" s="164" t="s">
        <v>189</v>
      </c>
      <c r="O145" s="164" t="s">
        <v>183</v>
      </c>
    </row>
    <row r="146" spans="1:15" ht="16.5" x14ac:dyDescent="0.25">
      <c r="A146" s="458" t="s">
        <v>281</v>
      </c>
      <c r="B146" s="459"/>
      <c r="C146" s="459"/>
      <c r="D146" s="459"/>
      <c r="E146" s="459"/>
      <c r="F146" s="459"/>
      <c r="G146" s="459"/>
      <c r="H146" s="459"/>
      <c r="I146" s="459"/>
      <c r="J146" s="459"/>
      <c r="K146" s="459"/>
      <c r="L146" s="459"/>
      <c r="M146" s="459"/>
      <c r="N146" s="459"/>
      <c r="O146" s="460"/>
    </row>
    <row r="147" spans="1:15" ht="16.5" x14ac:dyDescent="0.25">
      <c r="A147" s="458" t="s">
        <v>170</v>
      </c>
      <c r="B147" s="459"/>
      <c r="C147" s="459"/>
      <c r="D147" s="459"/>
      <c r="E147" s="459"/>
      <c r="F147" s="459"/>
      <c r="G147" s="459"/>
      <c r="H147" s="459"/>
      <c r="I147" s="460"/>
      <c r="J147" s="175">
        <f>J148+J149+J151</f>
        <v>399100</v>
      </c>
      <c r="K147" s="175">
        <f>K148+K149+K151</f>
        <v>348600</v>
      </c>
      <c r="L147" s="175">
        <f t="shared" ref="L147:N147" si="45">L148+L149+L151</f>
        <v>363500</v>
      </c>
      <c r="M147" s="175">
        <f t="shared" si="45"/>
        <v>0</v>
      </c>
      <c r="N147" s="175">
        <f t="shared" si="45"/>
        <v>132400</v>
      </c>
      <c r="O147" s="175">
        <f>SUM(J147:N147)</f>
        <v>1243600</v>
      </c>
    </row>
    <row r="148" spans="1:15" ht="16.5" x14ac:dyDescent="0.25">
      <c r="A148" s="461" t="s">
        <v>259</v>
      </c>
      <c r="B148" s="462"/>
      <c r="C148" s="462"/>
      <c r="D148" s="462"/>
      <c r="E148" s="462"/>
      <c r="F148" s="462"/>
      <c r="G148" s="462"/>
      <c r="H148" s="462"/>
      <c r="I148" s="463"/>
      <c r="J148" s="172"/>
      <c r="K148" s="172"/>
      <c r="L148" s="172"/>
      <c r="M148" s="172"/>
      <c r="N148" s="172"/>
      <c r="O148" s="172"/>
    </row>
    <row r="149" spans="1:15" ht="16.5" x14ac:dyDescent="0.25">
      <c r="A149" s="433" t="s">
        <v>260</v>
      </c>
      <c r="B149" s="434"/>
      <c r="C149" s="434"/>
      <c r="D149" s="434"/>
      <c r="E149" s="434"/>
      <c r="F149" s="434"/>
      <c r="G149" s="434"/>
      <c r="H149" s="434"/>
      <c r="I149" s="435"/>
      <c r="J149" s="168">
        <f>J150</f>
        <v>0</v>
      </c>
      <c r="K149" s="168">
        <f t="shared" ref="K149:O149" si="46">K150</f>
        <v>0</v>
      </c>
      <c r="L149" s="168">
        <f t="shared" si="46"/>
        <v>0</v>
      </c>
      <c r="M149" s="168">
        <f t="shared" si="46"/>
        <v>0</v>
      </c>
      <c r="N149" s="168">
        <f t="shared" si="46"/>
        <v>0</v>
      </c>
      <c r="O149" s="168">
        <f t="shared" si="46"/>
        <v>0</v>
      </c>
    </row>
    <row r="150" spans="1:15" ht="31.5" customHeight="1" x14ac:dyDescent="0.25">
      <c r="A150" s="449" t="s">
        <v>261</v>
      </c>
      <c r="B150" s="450"/>
      <c r="C150" s="450"/>
      <c r="D150" s="450"/>
      <c r="E150" s="450"/>
      <c r="F150" s="450"/>
      <c r="G150" s="450"/>
      <c r="H150" s="450"/>
      <c r="I150" s="451"/>
      <c r="J150" s="168"/>
      <c r="K150" s="168"/>
      <c r="L150" s="168"/>
      <c r="M150" s="168"/>
      <c r="N150" s="168"/>
      <c r="O150" s="168"/>
    </row>
    <row r="151" spans="1:15" ht="16.5" x14ac:dyDescent="0.25">
      <c r="A151" s="433" t="s">
        <v>262</v>
      </c>
      <c r="B151" s="434"/>
      <c r="C151" s="434"/>
      <c r="D151" s="434"/>
      <c r="E151" s="434"/>
      <c r="F151" s="434"/>
      <c r="G151" s="434"/>
      <c r="H151" s="434"/>
      <c r="I151" s="435"/>
      <c r="J151" s="168">
        <v>399100</v>
      </c>
      <c r="K151" s="168">
        <v>348600</v>
      </c>
      <c r="L151" s="171">
        <v>363500</v>
      </c>
      <c r="M151" s="168">
        <f>V127+V128+V134+V135</f>
        <v>0</v>
      </c>
      <c r="N151" s="172">
        <v>132400</v>
      </c>
      <c r="O151" s="168">
        <f>SUM(J151:N151)</f>
        <v>1243600</v>
      </c>
    </row>
    <row r="152" spans="1:15" ht="16.5" x14ac:dyDescent="0.25">
      <c r="A152" s="452" t="s">
        <v>177</v>
      </c>
      <c r="B152" s="453"/>
      <c r="C152" s="453"/>
      <c r="D152" s="453"/>
      <c r="E152" s="453"/>
      <c r="F152" s="453"/>
      <c r="G152" s="453"/>
      <c r="H152" s="453"/>
      <c r="I152" s="454"/>
      <c r="J152" s="168">
        <f>J153+J154+J158+J159+J160+J162</f>
        <v>0</v>
      </c>
      <c r="K152" s="168">
        <f t="shared" ref="K152:N152" si="47">SUM(K153:K162)</f>
        <v>0</v>
      </c>
      <c r="L152" s="168">
        <f t="shared" si="47"/>
        <v>0</v>
      </c>
      <c r="M152" s="168">
        <f t="shared" si="47"/>
        <v>0</v>
      </c>
      <c r="N152" s="168">
        <f t="shared" si="47"/>
        <v>0</v>
      </c>
      <c r="O152" s="168">
        <f>SUM(J152:N152)</f>
        <v>0</v>
      </c>
    </row>
    <row r="153" spans="1:15" ht="16.5" x14ac:dyDescent="0.25">
      <c r="A153" s="449" t="s">
        <v>264</v>
      </c>
      <c r="B153" s="450"/>
      <c r="C153" s="450"/>
      <c r="D153" s="450"/>
      <c r="E153" s="450"/>
      <c r="F153" s="450"/>
      <c r="G153" s="450"/>
      <c r="H153" s="450"/>
      <c r="I153" s="451"/>
      <c r="J153" s="168"/>
      <c r="K153" s="168"/>
      <c r="L153" s="168"/>
      <c r="M153" s="168"/>
      <c r="N153" s="168"/>
      <c r="O153" s="168">
        <f t="shared" ref="O153:O163" si="48">SUM(J153:N153)</f>
        <v>0</v>
      </c>
    </row>
    <row r="154" spans="1:15" ht="16.5" x14ac:dyDescent="0.25">
      <c r="A154" s="433" t="s">
        <v>265</v>
      </c>
      <c r="B154" s="434"/>
      <c r="C154" s="434"/>
      <c r="D154" s="434"/>
      <c r="E154" s="434"/>
      <c r="F154" s="434"/>
      <c r="G154" s="434"/>
      <c r="H154" s="434"/>
      <c r="I154" s="435"/>
      <c r="J154" s="168">
        <f>J155+J156+J157</f>
        <v>0</v>
      </c>
      <c r="K154" s="168">
        <f t="shared" ref="K154:N154" si="49">K155+K156+K157</f>
        <v>0</v>
      </c>
      <c r="L154" s="168"/>
      <c r="M154" s="168">
        <f t="shared" si="49"/>
        <v>0</v>
      </c>
      <c r="N154" s="168">
        <f t="shared" si="49"/>
        <v>0</v>
      </c>
      <c r="O154" s="168">
        <f t="shared" si="48"/>
        <v>0</v>
      </c>
    </row>
    <row r="155" spans="1:15" ht="16.5" x14ac:dyDescent="0.25">
      <c r="A155" s="433" t="s">
        <v>172</v>
      </c>
      <c r="B155" s="434"/>
      <c r="C155" s="434"/>
      <c r="D155" s="434"/>
      <c r="E155" s="434"/>
      <c r="F155" s="434"/>
      <c r="G155" s="434"/>
      <c r="H155" s="434"/>
      <c r="I155" s="435"/>
      <c r="J155" s="168"/>
      <c r="K155" s="168"/>
      <c r="L155" s="168"/>
      <c r="M155" s="168"/>
      <c r="N155" s="168"/>
      <c r="O155" s="168">
        <f t="shared" si="48"/>
        <v>0</v>
      </c>
    </row>
    <row r="156" spans="1:15" ht="16.5" x14ac:dyDescent="0.25">
      <c r="A156" s="433" t="s">
        <v>173</v>
      </c>
      <c r="B156" s="434"/>
      <c r="C156" s="434"/>
      <c r="D156" s="434"/>
      <c r="E156" s="434"/>
      <c r="F156" s="434"/>
      <c r="G156" s="434"/>
      <c r="H156" s="434"/>
      <c r="I156" s="435"/>
      <c r="J156" s="168"/>
      <c r="K156" s="168"/>
      <c r="L156" s="168"/>
      <c r="M156" s="168"/>
      <c r="N156" s="168"/>
      <c r="O156" s="168">
        <f t="shared" si="48"/>
        <v>0</v>
      </c>
    </row>
    <row r="157" spans="1:15" ht="16.5" x14ac:dyDescent="0.25">
      <c r="A157" s="433" t="s">
        <v>174</v>
      </c>
      <c r="B157" s="434"/>
      <c r="C157" s="434"/>
      <c r="D157" s="434"/>
      <c r="E157" s="434"/>
      <c r="F157" s="434"/>
      <c r="G157" s="434"/>
      <c r="H157" s="434"/>
      <c r="I157" s="435"/>
      <c r="J157" s="168"/>
      <c r="K157" s="168"/>
      <c r="L157" s="168"/>
      <c r="M157" s="168"/>
      <c r="N157" s="168"/>
      <c r="O157" s="168">
        <f t="shared" si="48"/>
        <v>0</v>
      </c>
    </row>
    <row r="158" spans="1:15" ht="16.5" x14ac:dyDescent="0.25">
      <c r="A158" s="433" t="s">
        <v>266</v>
      </c>
      <c r="B158" s="434"/>
      <c r="C158" s="434"/>
      <c r="D158" s="434"/>
      <c r="E158" s="434"/>
      <c r="F158" s="434"/>
      <c r="G158" s="434"/>
      <c r="H158" s="434"/>
      <c r="I158" s="435"/>
      <c r="J158" s="168"/>
      <c r="K158" s="168"/>
      <c r="L158" s="168"/>
      <c r="M158" s="168"/>
      <c r="N158" s="168"/>
      <c r="O158" s="168">
        <f t="shared" si="48"/>
        <v>0</v>
      </c>
    </row>
    <row r="159" spans="1:15" ht="16.5" x14ac:dyDescent="0.25">
      <c r="A159" s="433" t="s">
        <v>267</v>
      </c>
      <c r="B159" s="434"/>
      <c r="C159" s="434"/>
      <c r="D159" s="434"/>
      <c r="E159" s="434"/>
      <c r="F159" s="434"/>
      <c r="G159" s="434"/>
      <c r="H159" s="434"/>
      <c r="I159" s="435"/>
      <c r="J159" s="168"/>
      <c r="K159" s="168"/>
      <c r="L159" s="168"/>
      <c r="M159" s="168"/>
      <c r="N159" s="168"/>
      <c r="O159" s="168">
        <f t="shared" si="48"/>
        <v>0</v>
      </c>
    </row>
    <row r="160" spans="1:15" ht="16.5" x14ac:dyDescent="0.25">
      <c r="A160" s="464" t="s">
        <v>268</v>
      </c>
      <c r="B160" s="465"/>
      <c r="C160" s="465"/>
      <c r="D160" s="465"/>
      <c r="E160" s="465"/>
      <c r="F160" s="465"/>
      <c r="G160" s="465"/>
      <c r="H160" s="465"/>
      <c r="I160" s="466"/>
      <c r="J160" s="168">
        <f>J161</f>
        <v>0</v>
      </c>
      <c r="K160" s="168">
        <f t="shared" ref="K160:N160" si="50">K161</f>
        <v>0</v>
      </c>
      <c r="L160" s="168">
        <f t="shared" si="50"/>
        <v>0</v>
      </c>
      <c r="M160" s="168">
        <f t="shared" si="50"/>
        <v>0</v>
      </c>
      <c r="N160" s="168">
        <f t="shared" si="50"/>
        <v>0</v>
      </c>
      <c r="O160" s="168">
        <f t="shared" si="48"/>
        <v>0</v>
      </c>
    </row>
    <row r="161" spans="1:17" ht="28.5" customHeight="1" x14ac:dyDescent="0.25">
      <c r="A161" s="449" t="s">
        <v>271</v>
      </c>
      <c r="B161" s="450"/>
      <c r="C161" s="450"/>
      <c r="D161" s="450"/>
      <c r="E161" s="450"/>
      <c r="F161" s="450"/>
      <c r="G161" s="450"/>
      <c r="H161" s="450"/>
      <c r="I161" s="451"/>
      <c r="J161" s="168"/>
      <c r="K161" s="168"/>
      <c r="L161" s="168"/>
      <c r="M161" s="168"/>
      <c r="N161" s="168"/>
      <c r="O161" s="168">
        <f t="shared" si="48"/>
        <v>0</v>
      </c>
    </row>
    <row r="162" spans="1:17" ht="16.5" x14ac:dyDescent="0.25">
      <c r="A162" s="433" t="s">
        <v>270</v>
      </c>
      <c r="B162" s="434"/>
      <c r="C162" s="434"/>
      <c r="D162" s="434"/>
      <c r="E162" s="434"/>
      <c r="F162" s="434"/>
      <c r="G162" s="434"/>
      <c r="H162" s="434"/>
      <c r="I162" s="435"/>
      <c r="J162" s="168">
        <f>J163</f>
        <v>0</v>
      </c>
      <c r="K162" s="168">
        <f t="shared" ref="K162:N162" si="51">K163</f>
        <v>0</v>
      </c>
      <c r="L162" s="168">
        <f t="shared" si="51"/>
        <v>0</v>
      </c>
      <c r="M162" s="168">
        <f t="shared" si="51"/>
        <v>0</v>
      </c>
      <c r="N162" s="168">
        <f t="shared" si="51"/>
        <v>0</v>
      </c>
      <c r="O162" s="168">
        <f t="shared" si="48"/>
        <v>0</v>
      </c>
    </row>
    <row r="163" spans="1:17" ht="110.25" customHeight="1" x14ac:dyDescent="0.25">
      <c r="A163" s="449" t="s">
        <v>269</v>
      </c>
      <c r="B163" s="450"/>
      <c r="C163" s="450"/>
      <c r="D163" s="450"/>
      <c r="E163" s="450"/>
      <c r="F163" s="450"/>
      <c r="G163" s="450"/>
      <c r="H163" s="450"/>
      <c r="I163" s="451"/>
      <c r="J163" s="168"/>
      <c r="K163" s="168"/>
      <c r="L163" s="168"/>
      <c r="M163" s="168"/>
      <c r="N163" s="168"/>
      <c r="O163" s="168">
        <f t="shared" si="48"/>
        <v>0</v>
      </c>
    </row>
    <row r="164" spans="1:17" ht="16.5" x14ac:dyDescent="0.25">
      <c r="A164" s="452" t="s">
        <v>183</v>
      </c>
      <c r="B164" s="453"/>
      <c r="C164" s="453"/>
      <c r="D164" s="453"/>
      <c r="E164" s="453"/>
      <c r="F164" s="453"/>
      <c r="G164" s="453"/>
      <c r="H164" s="453"/>
      <c r="I164" s="454"/>
      <c r="J164" s="227">
        <f>J147+J152</f>
        <v>399100</v>
      </c>
      <c r="K164" s="227">
        <f t="shared" ref="K164:O164" si="52">K147+K152</f>
        <v>348600</v>
      </c>
      <c r="L164" s="227">
        <f t="shared" si="52"/>
        <v>363500</v>
      </c>
      <c r="M164" s="227">
        <f t="shared" si="52"/>
        <v>0</v>
      </c>
      <c r="N164" s="227">
        <f t="shared" si="52"/>
        <v>132400</v>
      </c>
      <c r="O164" s="227">
        <f t="shared" si="52"/>
        <v>1243600</v>
      </c>
    </row>
    <row r="165" spans="1:17" ht="16.5" x14ac:dyDescent="0.25">
      <c r="A165" s="169"/>
      <c r="B165" s="169"/>
      <c r="C165" s="169"/>
      <c r="D165" s="169"/>
      <c r="E165" s="169"/>
      <c r="F165" s="169"/>
      <c r="G165" s="169"/>
      <c r="H165" s="169"/>
      <c r="I165" s="169"/>
      <c r="J165" s="169"/>
      <c r="K165" s="169"/>
      <c r="L165" s="169"/>
      <c r="M165" s="169"/>
      <c r="N165" s="169"/>
      <c r="O165" s="169"/>
    </row>
    <row r="166" spans="1:17" ht="16.5" x14ac:dyDescent="0.25">
      <c r="A166" s="169"/>
      <c r="B166" s="169"/>
      <c r="C166" s="169"/>
      <c r="D166" s="169"/>
      <c r="E166" s="169"/>
      <c r="F166" s="169"/>
      <c r="G166" s="169"/>
      <c r="H166" s="169"/>
      <c r="I166" s="169"/>
      <c r="J166" s="169"/>
      <c r="K166" s="169"/>
      <c r="L166" s="169"/>
      <c r="M166" s="169"/>
      <c r="N166" s="169"/>
      <c r="O166" s="169"/>
    </row>
    <row r="167" spans="1:17" ht="16.5" x14ac:dyDescent="0.25">
      <c r="A167" s="169"/>
      <c r="B167" s="169"/>
      <c r="C167" s="169"/>
      <c r="D167" s="169"/>
      <c r="E167" s="169"/>
      <c r="F167" s="169"/>
      <c r="G167" s="169"/>
      <c r="H167" s="169"/>
      <c r="I167" s="169"/>
      <c r="J167" s="169"/>
      <c r="K167" s="169"/>
      <c r="L167" s="169"/>
      <c r="M167" s="169" t="s">
        <v>341</v>
      </c>
      <c r="N167" s="169"/>
      <c r="O167" s="169"/>
    </row>
    <row r="168" spans="1:17" ht="16.5" x14ac:dyDescent="0.25">
      <c r="A168" s="169"/>
      <c r="B168" s="169"/>
      <c r="C168" s="169"/>
      <c r="D168" s="169"/>
      <c r="E168" s="169"/>
      <c r="F168" s="169"/>
      <c r="G168" s="169"/>
      <c r="H168" s="169"/>
      <c r="I168" s="169"/>
      <c r="J168" s="169"/>
      <c r="K168" s="169"/>
      <c r="L168" s="169"/>
      <c r="M168" s="169"/>
      <c r="N168" s="169"/>
      <c r="O168" s="169"/>
    </row>
    <row r="169" spans="1:17" ht="33" x14ac:dyDescent="0.25">
      <c r="A169" s="468" t="s">
        <v>315</v>
      </c>
      <c r="B169" s="468"/>
      <c r="C169" s="468"/>
      <c r="D169" s="468"/>
      <c r="E169" s="468"/>
      <c r="F169" s="468"/>
      <c r="G169" s="468"/>
      <c r="H169" s="468"/>
      <c r="I169" s="468"/>
      <c r="J169" s="164" t="s">
        <v>185</v>
      </c>
      <c r="K169" s="164" t="s">
        <v>186</v>
      </c>
      <c r="L169" s="165" t="s">
        <v>187</v>
      </c>
      <c r="M169" s="164" t="s">
        <v>188</v>
      </c>
      <c r="N169" s="164" t="s">
        <v>189</v>
      </c>
      <c r="O169" s="164" t="s">
        <v>323</v>
      </c>
      <c r="P169" s="45" t="s">
        <v>324</v>
      </c>
      <c r="Q169" s="3"/>
    </row>
    <row r="170" spans="1:17" ht="16.5" x14ac:dyDescent="0.25">
      <c r="A170" s="444" t="s">
        <v>282</v>
      </c>
      <c r="B170" s="444"/>
      <c r="C170" s="444"/>
      <c r="D170" s="444"/>
      <c r="E170" s="444"/>
      <c r="F170" s="444"/>
      <c r="G170" s="444"/>
      <c r="H170" s="444"/>
      <c r="I170" s="444"/>
      <c r="J170" s="444"/>
      <c r="K170" s="444"/>
      <c r="L170" s="444"/>
      <c r="M170" s="444"/>
      <c r="N170" s="444"/>
      <c r="O170" s="444"/>
      <c r="P170" s="161"/>
      <c r="Q170" s="161"/>
    </row>
    <row r="171" spans="1:17" ht="15" customHeight="1" x14ac:dyDescent="0.25">
      <c r="A171" s="444" t="s">
        <v>170</v>
      </c>
      <c r="B171" s="444"/>
      <c r="C171" s="444"/>
      <c r="D171" s="444"/>
      <c r="E171" s="444"/>
      <c r="F171" s="444"/>
      <c r="G171" s="444"/>
      <c r="H171" s="444"/>
      <c r="I171" s="444"/>
      <c r="J171" s="175">
        <f>J172+J173+J175</f>
        <v>4784144</v>
      </c>
      <c r="K171" s="175">
        <f>K172+K173+K175</f>
        <v>832235</v>
      </c>
      <c r="L171" s="175">
        <f t="shared" ref="L171:P171" si="53">L172+L173+L175</f>
        <v>598176</v>
      </c>
      <c r="M171" s="175">
        <f t="shared" si="53"/>
        <v>0</v>
      </c>
      <c r="N171" s="175">
        <f t="shared" si="53"/>
        <v>279926</v>
      </c>
      <c r="O171" s="175">
        <f t="shared" si="53"/>
        <v>20057</v>
      </c>
      <c r="P171" s="163">
        <f t="shared" si="53"/>
        <v>8763</v>
      </c>
      <c r="Q171" s="163">
        <f>SUM(J171:P171)</f>
        <v>6523301</v>
      </c>
    </row>
    <row r="172" spans="1:17" ht="16.5" x14ac:dyDescent="0.25">
      <c r="A172" s="440" t="s">
        <v>259</v>
      </c>
      <c r="B172" s="441"/>
      <c r="C172" s="441"/>
      <c r="D172" s="441"/>
      <c r="E172" s="441"/>
      <c r="F172" s="441"/>
      <c r="G172" s="441"/>
      <c r="H172" s="441"/>
      <c r="I172" s="441"/>
      <c r="J172" s="172">
        <f>2006199+604940</f>
        <v>2611139</v>
      </c>
      <c r="K172" s="172">
        <f>564140+241025</f>
        <v>805165</v>
      </c>
      <c r="L172" s="172">
        <f>382402+115484</f>
        <v>497886</v>
      </c>
      <c r="M172" s="172"/>
      <c r="N172" s="172">
        <f>137877+41639</f>
        <v>179516</v>
      </c>
      <c r="O172" s="172"/>
      <c r="P172" s="160"/>
      <c r="Q172" s="160">
        <f>SUM(J172:P172)</f>
        <v>4093706</v>
      </c>
    </row>
    <row r="173" spans="1:17" ht="15" customHeight="1" x14ac:dyDescent="0.25">
      <c r="A173" s="442" t="s">
        <v>260</v>
      </c>
      <c r="B173" s="442"/>
      <c r="C173" s="442"/>
      <c r="D173" s="442"/>
      <c r="E173" s="442"/>
      <c r="F173" s="442"/>
      <c r="G173" s="442"/>
      <c r="H173" s="442"/>
      <c r="I173" s="442"/>
      <c r="J173" s="168">
        <f>22572+2065316+85117</f>
        <v>2173005</v>
      </c>
      <c r="K173" s="172">
        <f>11740+15330</f>
        <v>27070</v>
      </c>
      <c r="L173" s="168">
        <f>6622+76560+17108</f>
        <v>100290</v>
      </c>
      <c r="M173" s="168">
        <f t="shared" ref="M173" si="54">M174</f>
        <v>0</v>
      </c>
      <c r="N173" s="168">
        <f>3010+97400</f>
        <v>100410</v>
      </c>
      <c r="O173" s="172">
        <f>9783+10274</f>
        <v>20057</v>
      </c>
      <c r="P173" s="161">
        <f>3763+5000</f>
        <v>8763</v>
      </c>
      <c r="Q173" s="160">
        <f>SUM(J173:P173)</f>
        <v>2429595</v>
      </c>
    </row>
    <row r="174" spans="1:17" ht="16.5" x14ac:dyDescent="0.25">
      <c r="A174" s="443" t="s">
        <v>261</v>
      </c>
      <c r="B174" s="443"/>
      <c r="C174" s="443"/>
      <c r="D174" s="443"/>
      <c r="E174" s="443"/>
      <c r="F174" s="443"/>
      <c r="G174" s="443"/>
      <c r="H174" s="443"/>
      <c r="I174" s="443"/>
      <c r="J174" s="168"/>
      <c r="K174" s="168"/>
      <c r="L174" s="168"/>
      <c r="M174" s="168"/>
      <c r="N174" s="168"/>
      <c r="O174" s="172"/>
      <c r="P174" s="161"/>
      <c r="Q174" s="160">
        <f t="shared" ref="Q174:Q187" si="55">SUM(J174:P174)</f>
        <v>0</v>
      </c>
    </row>
    <row r="175" spans="1:17" ht="16.5" x14ac:dyDescent="0.25">
      <c r="A175" s="442" t="s">
        <v>262</v>
      </c>
      <c r="B175" s="442"/>
      <c r="C175" s="442"/>
      <c r="D175" s="442"/>
      <c r="E175" s="442"/>
      <c r="F175" s="442"/>
      <c r="G175" s="442"/>
      <c r="H175" s="442"/>
      <c r="I175" s="442"/>
      <c r="J175" s="168"/>
      <c r="K175" s="168"/>
      <c r="L175" s="168">
        <f>R151+R152+R164+R158</f>
        <v>0</v>
      </c>
      <c r="M175" s="168">
        <f>V151+V152+V158+V159</f>
        <v>0</v>
      </c>
      <c r="N175" s="168">
        <f>Z151+Z152+Z158+Z159</f>
        <v>0</v>
      </c>
      <c r="O175" s="172"/>
      <c r="P175" s="161"/>
      <c r="Q175" s="160">
        <f t="shared" si="55"/>
        <v>0</v>
      </c>
    </row>
    <row r="176" spans="1:17" ht="15" customHeight="1" x14ac:dyDescent="0.25">
      <c r="A176" s="467" t="s">
        <v>177</v>
      </c>
      <c r="B176" s="467"/>
      <c r="C176" s="467"/>
      <c r="D176" s="467"/>
      <c r="E176" s="467"/>
      <c r="F176" s="467"/>
      <c r="G176" s="467"/>
      <c r="H176" s="467"/>
      <c r="I176" s="467"/>
      <c r="J176" s="175">
        <f>J179+J184+J186</f>
        <v>38304</v>
      </c>
      <c r="K176" s="175">
        <f t="shared" ref="K176:P176" si="56">K179+K184+K186</f>
        <v>0</v>
      </c>
      <c r="L176" s="175">
        <f t="shared" si="56"/>
        <v>24403</v>
      </c>
      <c r="M176" s="175">
        <f t="shared" si="56"/>
        <v>0</v>
      </c>
      <c r="N176" s="175">
        <f t="shared" si="56"/>
        <v>0</v>
      </c>
      <c r="O176" s="175">
        <f t="shared" si="56"/>
        <v>0</v>
      </c>
      <c r="P176" s="163">
        <f t="shared" si="56"/>
        <v>992</v>
      </c>
      <c r="Q176" s="163">
        <f t="shared" si="55"/>
        <v>63699</v>
      </c>
    </row>
    <row r="177" spans="1:17" ht="16.5" x14ac:dyDescent="0.25">
      <c r="A177" s="443" t="s">
        <v>264</v>
      </c>
      <c r="B177" s="443"/>
      <c r="C177" s="443"/>
      <c r="D177" s="443"/>
      <c r="E177" s="443"/>
      <c r="F177" s="443"/>
      <c r="G177" s="443"/>
      <c r="H177" s="443"/>
      <c r="I177" s="443"/>
      <c r="J177" s="168"/>
      <c r="K177" s="168"/>
      <c r="L177" s="168"/>
      <c r="M177" s="168"/>
      <c r="N177" s="168"/>
      <c r="O177" s="172"/>
      <c r="P177" s="161"/>
      <c r="Q177" s="160">
        <f t="shared" si="55"/>
        <v>0</v>
      </c>
    </row>
    <row r="178" spans="1:17" ht="16.5" x14ac:dyDescent="0.25">
      <c r="A178" s="442" t="s">
        <v>265</v>
      </c>
      <c r="B178" s="442"/>
      <c r="C178" s="442"/>
      <c r="D178" s="442"/>
      <c r="E178" s="442"/>
      <c r="F178" s="442"/>
      <c r="G178" s="442"/>
      <c r="H178" s="442"/>
      <c r="I178" s="442"/>
      <c r="J178" s="168"/>
      <c r="K178" s="168">
        <f>K179+K180+K181</f>
        <v>0</v>
      </c>
      <c r="L178" s="168"/>
      <c r="M178" s="168">
        <f t="shared" ref="M178" si="57">M179+M180+M181</f>
        <v>0</v>
      </c>
      <c r="N178" s="168"/>
      <c r="O178" s="172"/>
      <c r="P178" s="161"/>
      <c r="Q178" s="160">
        <f t="shared" si="55"/>
        <v>0</v>
      </c>
    </row>
    <row r="179" spans="1:17" ht="16.5" x14ac:dyDescent="0.25">
      <c r="A179" s="442" t="s">
        <v>172</v>
      </c>
      <c r="B179" s="442"/>
      <c r="C179" s="442"/>
      <c r="D179" s="442"/>
      <c r="E179" s="442"/>
      <c r="F179" s="442"/>
      <c r="G179" s="442"/>
      <c r="H179" s="442"/>
      <c r="I179" s="442"/>
      <c r="J179" s="168">
        <v>38304</v>
      </c>
      <c r="K179" s="168"/>
      <c r="L179" s="168">
        <v>24403</v>
      </c>
      <c r="M179" s="168"/>
      <c r="N179" s="168"/>
      <c r="O179" s="172"/>
      <c r="P179" s="161">
        <v>992</v>
      </c>
      <c r="Q179" s="160">
        <f t="shared" si="55"/>
        <v>63699</v>
      </c>
    </row>
    <row r="180" spans="1:17" ht="16.5" x14ac:dyDescent="0.25">
      <c r="A180" s="442" t="s">
        <v>173</v>
      </c>
      <c r="B180" s="442"/>
      <c r="C180" s="442"/>
      <c r="D180" s="442"/>
      <c r="E180" s="442"/>
      <c r="F180" s="442"/>
      <c r="G180" s="442"/>
      <c r="H180" s="442"/>
      <c r="I180" s="442"/>
      <c r="J180" s="168"/>
      <c r="K180" s="168"/>
      <c r="L180" s="168"/>
      <c r="M180" s="168"/>
      <c r="N180" s="168"/>
      <c r="O180" s="172"/>
      <c r="P180" s="161"/>
      <c r="Q180" s="160">
        <f t="shared" si="55"/>
        <v>0</v>
      </c>
    </row>
    <row r="181" spans="1:17" ht="16.5" x14ac:dyDescent="0.25">
      <c r="A181" s="442" t="s">
        <v>174</v>
      </c>
      <c r="B181" s="442"/>
      <c r="C181" s="442"/>
      <c r="D181" s="442"/>
      <c r="E181" s="442"/>
      <c r="F181" s="442"/>
      <c r="G181" s="442"/>
      <c r="H181" s="442"/>
      <c r="I181" s="442"/>
      <c r="J181" s="168"/>
      <c r="K181" s="168"/>
      <c r="L181" s="168"/>
      <c r="M181" s="168"/>
      <c r="N181" s="168"/>
      <c r="O181" s="172"/>
      <c r="P181" s="161"/>
      <c r="Q181" s="160">
        <f t="shared" si="55"/>
        <v>0</v>
      </c>
    </row>
    <row r="182" spans="1:17" ht="16.5" x14ac:dyDescent="0.25">
      <c r="A182" s="442" t="s">
        <v>266</v>
      </c>
      <c r="B182" s="442"/>
      <c r="C182" s="442"/>
      <c r="D182" s="442"/>
      <c r="E182" s="442"/>
      <c r="F182" s="442"/>
      <c r="G182" s="442"/>
      <c r="H182" s="442"/>
      <c r="I182" s="442"/>
      <c r="J182" s="168"/>
      <c r="K182" s="168"/>
      <c r="L182" s="168"/>
      <c r="M182" s="168"/>
      <c r="N182" s="168"/>
      <c r="O182" s="172"/>
      <c r="P182" s="161"/>
      <c r="Q182" s="160">
        <f t="shared" si="55"/>
        <v>0</v>
      </c>
    </row>
    <row r="183" spans="1:17" ht="15" customHeight="1" x14ac:dyDescent="0.25">
      <c r="A183" s="442" t="s">
        <v>267</v>
      </c>
      <c r="B183" s="442"/>
      <c r="C183" s="442"/>
      <c r="D183" s="442"/>
      <c r="E183" s="442"/>
      <c r="F183" s="442"/>
      <c r="G183" s="442"/>
      <c r="H183" s="442"/>
      <c r="I183" s="442"/>
      <c r="J183" s="168"/>
      <c r="K183" s="168"/>
      <c r="L183" s="168"/>
      <c r="M183" s="168"/>
      <c r="N183" s="168"/>
      <c r="O183" s="172"/>
      <c r="P183" s="161"/>
      <c r="Q183" s="160">
        <f t="shared" si="55"/>
        <v>0</v>
      </c>
    </row>
    <row r="184" spans="1:17" ht="15" customHeight="1" x14ac:dyDescent="0.25">
      <c r="A184" s="443" t="s">
        <v>268</v>
      </c>
      <c r="B184" s="443"/>
      <c r="C184" s="443"/>
      <c r="D184" s="443"/>
      <c r="E184" s="443"/>
      <c r="F184" s="443"/>
      <c r="G184" s="443"/>
      <c r="H184" s="443"/>
      <c r="I184" s="443"/>
      <c r="J184" s="175"/>
      <c r="K184" s="175"/>
      <c r="L184" s="175"/>
      <c r="M184" s="175">
        <f t="shared" ref="M184" si="58">M185</f>
        <v>0</v>
      </c>
      <c r="N184" s="175"/>
      <c r="O184" s="204"/>
      <c r="P184" s="162"/>
      <c r="Q184" s="163">
        <f t="shared" si="55"/>
        <v>0</v>
      </c>
    </row>
    <row r="185" spans="1:17" ht="16.5" x14ac:dyDescent="0.25">
      <c r="A185" s="443" t="s">
        <v>271</v>
      </c>
      <c r="B185" s="443"/>
      <c r="C185" s="443"/>
      <c r="D185" s="443"/>
      <c r="E185" s="443"/>
      <c r="F185" s="443"/>
      <c r="G185" s="443"/>
      <c r="H185" s="443"/>
      <c r="I185" s="443"/>
      <c r="J185" s="168"/>
      <c r="K185" s="168"/>
      <c r="L185" s="168"/>
      <c r="M185" s="168"/>
      <c r="N185" s="168"/>
      <c r="O185" s="172"/>
      <c r="P185" s="161"/>
      <c r="Q185" s="160">
        <f t="shared" si="55"/>
        <v>0</v>
      </c>
    </row>
    <row r="186" spans="1:17" ht="15" customHeight="1" x14ac:dyDescent="0.25">
      <c r="A186" s="442" t="s">
        <v>270</v>
      </c>
      <c r="B186" s="442"/>
      <c r="C186" s="442"/>
      <c r="D186" s="442"/>
      <c r="E186" s="442"/>
      <c r="F186" s="442"/>
      <c r="G186" s="442"/>
      <c r="H186" s="442"/>
      <c r="I186" s="442"/>
      <c r="J186" s="175">
        <f>J187</f>
        <v>0</v>
      </c>
      <c r="K186" s="175">
        <f>K187</f>
        <v>0</v>
      </c>
      <c r="L186" s="175">
        <f t="shared" ref="L186:P186" si="59">L187</f>
        <v>0</v>
      </c>
      <c r="M186" s="175">
        <f t="shared" si="59"/>
        <v>0</v>
      </c>
      <c r="N186" s="175">
        <f t="shared" si="59"/>
        <v>0</v>
      </c>
      <c r="O186" s="175">
        <f t="shared" si="59"/>
        <v>0</v>
      </c>
      <c r="P186" s="163">
        <f t="shared" si="59"/>
        <v>0</v>
      </c>
      <c r="Q186" s="163">
        <f t="shared" si="55"/>
        <v>0</v>
      </c>
    </row>
    <row r="187" spans="1:17" ht="16.5" x14ac:dyDescent="0.25">
      <c r="A187" s="443" t="s">
        <v>269</v>
      </c>
      <c r="B187" s="443"/>
      <c r="C187" s="443"/>
      <c r="D187" s="443"/>
      <c r="E187" s="443"/>
      <c r="F187" s="443"/>
      <c r="G187" s="443"/>
      <c r="H187" s="443"/>
      <c r="I187" s="443"/>
      <c r="J187" s="168"/>
      <c r="K187" s="168"/>
      <c r="L187" s="168"/>
      <c r="M187" s="168"/>
      <c r="N187" s="168"/>
      <c r="O187" s="172"/>
      <c r="P187" s="161"/>
      <c r="Q187" s="160">
        <f t="shared" si="55"/>
        <v>0</v>
      </c>
    </row>
    <row r="188" spans="1:17" ht="16.5" x14ac:dyDescent="0.25">
      <c r="A188" s="467" t="s">
        <v>183</v>
      </c>
      <c r="B188" s="467"/>
      <c r="C188" s="467"/>
      <c r="D188" s="467"/>
      <c r="E188" s="467"/>
      <c r="F188" s="467"/>
      <c r="G188" s="467"/>
      <c r="H188" s="467"/>
      <c r="I188" s="467"/>
      <c r="J188" s="227">
        <f>J171+J176</f>
        <v>4822448</v>
      </c>
      <c r="K188" s="227">
        <f>K171+K176</f>
        <v>832235</v>
      </c>
      <c r="L188" s="227">
        <f t="shared" ref="L188:P188" si="60">L171+L176</f>
        <v>622579</v>
      </c>
      <c r="M188" s="227">
        <f t="shared" si="60"/>
        <v>0</v>
      </c>
      <c r="N188" s="227">
        <f t="shared" si="60"/>
        <v>279926</v>
      </c>
      <c r="O188" s="227">
        <f t="shared" si="60"/>
        <v>20057</v>
      </c>
      <c r="P188" s="248">
        <f t="shared" si="60"/>
        <v>9755</v>
      </c>
      <c r="Q188" s="248">
        <f>Q171+Q176</f>
        <v>6587000</v>
      </c>
    </row>
    <row r="189" spans="1:17" ht="16.5" x14ac:dyDescent="0.25">
      <c r="A189" s="169"/>
      <c r="B189" s="169"/>
      <c r="C189" s="169"/>
      <c r="D189" s="169"/>
      <c r="E189" s="169"/>
      <c r="F189" s="169"/>
      <c r="G189" s="169"/>
      <c r="H189" s="169"/>
      <c r="I189" s="169"/>
      <c r="J189" s="169"/>
      <c r="K189" s="169"/>
      <c r="L189" s="169"/>
      <c r="M189" s="169"/>
      <c r="N189" s="169"/>
      <c r="O189" s="169"/>
    </row>
    <row r="190" spans="1:17" ht="16.5" x14ac:dyDescent="0.25">
      <c r="A190" s="169"/>
      <c r="B190" s="169"/>
      <c r="C190" s="169"/>
      <c r="D190" s="169"/>
      <c r="E190" s="169"/>
      <c r="F190" s="169"/>
      <c r="G190" s="169"/>
      <c r="H190" s="169"/>
      <c r="I190" s="169"/>
      <c r="J190" s="169"/>
      <c r="K190" s="169"/>
      <c r="L190" s="169"/>
      <c r="M190" s="169" t="s">
        <v>336</v>
      </c>
      <c r="N190" s="169"/>
      <c r="O190" s="169"/>
    </row>
    <row r="191" spans="1:17" ht="16.5" x14ac:dyDescent="0.25">
      <c r="A191" s="169"/>
      <c r="B191" s="169"/>
      <c r="C191" s="169"/>
      <c r="D191" s="169"/>
      <c r="E191" s="169"/>
      <c r="F191" s="169"/>
      <c r="G191" s="169"/>
      <c r="H191" s="169"/>
      <c r="I191" s="169"/>
      <c r="J191" s="169"/>
      <c r="K191" s="169"/>
      <c r="L191" s="169"/>
      <c r="M191" s="169"/>
      <c r="N191" s="169"/>
      <c r="O191" s="169"/>
    </row>
    <row r="192" spans="1:17" ht="33" x14ac:dyDescent="0.25">
      <c r="A192" s="455" t="s">
        <v>315</v>
      </c>
      <c r="B192" s="456"/>
      <c r="C192" s="456"/>
      <c r="D192" s="456"/>
      <c r="E192" s="456"/>
      <c r="F192" s="456"/>
      <c r="G192" s="456"/>
      <c r="H192" s="456"/>
      <c r="I192" s="457"/>
      <c r="J192" s="164" t="s">
        <v>185</v>
      </c>
      <c r="K192" s="164" t="s">
        <v>186</v>
      </c>
      <c r="L192" s="165" t="s">
        <v>187</v>
      </c>
      <c r="M192" s="164" t="s">
        <v>188</v>
      </c>
      <c r="N192" s="164" t="s">
        <v>189</v>
      </c>
      <c r="O192" s="164" t="s">
        <v>183</v>
      </c>
    </row>
    <row r="193" spans="1:16" ht="16.5" x14ac:dyDescent="0.25">
      <c r="A193" s="469" t="s">
        <v>257</v>
      </c>
      <c r="B193" s="470"/>
      <c r="C193" s="470"/>
      <c r="D193" s="470"/>
      <c r="E193" s="470"/>
      <c r="F193" s="470"/>
      <c r="G193" s="470"/>
      <c r="H193" s="470"/>
      <c r="I193" s="470"/>
      <c r="J193" s="470"/>
      <c r="K193" s="470"/>
      <c r="L193" s="470"/>
      <c r="M193" s="470"/>
      <c r="N193" s="470"/>
      <c r="O193" s="471"/>
    </row>
    <row r="194" spans="1:16" ht="16.5" x14ac:dyDescent="0.25">
      <c r="A194" s="458" t="s">
        <v>258</v>
      </c>
      <c r="B194" s="459"/>
      <c r="C194" s="459"/>
      <c r="D194" s="459"/>
      <c r="E194" s="459"/>
      <c r="F194" s="459"/>
      <c r="G194" s="459"/>
      <c r="H194" s="459"/>
      <c r="I194" s="460"/>
      <c r="J194" s="175">
        <f>J195+J196+J198</f>
        <v>0</v>
      </c>
      <c r="K194" s="175">
        <f t="shared" ref="K194:N194" si="61">K195+K196+K198</f>
        <v>0</v>
      </c>
      <c r="L194" s="175">
        <f t="shared" si="61"/>
        <v>0</v>
      </c>
      <c r="M194" s="175">
        <f t="shared" si="61"/>
        <v>0</v>
      </c>
      <c r="N194" s="175">
        <f t="shared" si="61"/>
        <v>84237.89</v>
      </c>
      <c r="O194" s="175">
        <f>SUM(J194:N194)</f>
        <v>84237.89</v>
      </c>
    </row>
    <row r="195" spans="1:16" ht="16.5" x14ac:dyDescent="0.25">
      <c r="A195" s="461" t="s">
        <v>259</v>
      </c>
      <c r="B195" s="472"/>
      <c r="C195" s="472"/>
      <c r="D195" s="472"/>
      <c r="E195" s="472"/>
      <c r="F195" s="472"/>
      <c r="G195" s="472"/>
      <c r="H195" s="472"/>
      <c r="I195" s="473"/>
      <c r="J195" s="172"/>
      <c r="K195" s="172"/>
      <c r="L195" s="172"/>
      <c r="M195" s="172"/>
      <c r="N195" s="172"/>
      <c r="O195" s="168">
        <f t="shared" ref="O195:O210" si="62">SUM(J195:N195)</f>
        <v>0</v>
      </c>
    </row>
    <row r="196" spans="1:16" ht="16.5" x14ac:dyDescent="0.25">
      <c r="A196" s="433" t="s">
        <v>260</v>
      </c>
      <c r="B196" s="434"/>
      <c r="C196" s="434"/>
      <c r="D196" s="434"/>
      <c r="E196" s="434"/>
      <c r="F196" s="434"/>
      <c r="G196" s="434"/>
      <c r="H196" s="434"/>
      <c r="I196" s="435"/>
      <c r="J196" s="168">
        <f>J197</f>
        <v>0</v>
      </c>
      <c r="K196" s="168">
        <f>K197</f>
        <v>0</v>
      </c>
      <c r="L196" s="168">
        <f t="shared" ref="L196" si="63">L197</f>
        <v>0</v>
      </c>
      <c r="M196" s="168"/>
      <c r="N196" s="168">
        <f>N197</f>
        <v>11361.86</v>
      </c>
      <c r="O196" s="168">
        <f t="shared" si="62"/>
        <v>11361.86</v>
      </c>
    </row>
    <row r="197" spans="1:16" ht="16.5" x14ac:dyDescent="0.25">
      <c r="A197" s="449" t="s">
        <v>261</v>
      </c>
      <c r="B197" s="450"/>
      <c r="C197" s="450"/>
      <c r="D197" s="450"/>
      <c r="E197" s="450"/>
      <c r="F197" s="450"/>
      <c r="G197" s="450"/>
      <c r="H197" s="450"/>
      <c r="I197" s="451"/>
      <c r="J197" s="168"/>
      <c r="K197" s="168"/>
      <c r="L197" s="168"/>
      <c r="M197" s="168"/>
      <c r="N197" s="168">
        <v>11361.86</v>
      </c>
      <c r="O197" s="168">
        <f t="shared" si="62"/>
        <v>11361.86</v>
      </c>
    </row>
    <row r="198" spans="1:16" ht="16.5" x14ac:dyDescent="0.25">
      <c r="A198" s="433" t="s">
        <v>262</v>
      </c>
      <c r="B198" s="434"/>
      <c r="C198" s="434"/>
      <c r="D198" s="434"/>
      <c r="E198" s="434"/>
      <c r="F198" s="434"/>
      <c r="G198" s="434"/>
      <c r="H198" s="434"/>
      <c r="I198" s="435"/>
      <c r="J198" s="168"/>
      <c r="K198" s="168"/>
      <c r="L198" s="168"/>
      <c r="M198" s="173"/>
      <c r="N198" s="168">
        <f>38896.91+33979.12</f>
        <v>72876.03</v>
      </c>
      <c r="O198" s="168">
        <f t="shared" si="62"/>
        <v>72876.03</v>
      </c>
    </row>
    <row r="199" spans="1:16" ht="16.5" x14ac:dyDescent="0.25">
      <c r="A199" s="452" t="s">
        <v>263</v>
      </c>
      <c r="B199" s="453"/>
      <c r="C199" s="453"/>
      <c r="D199" s="453"/>
      <c r="E199" s="453"/>
      <c r="F199" s="453"/>
      <c r="G199" s="453"/>
      <c r="H199" s="453"/>
      <c r="I199" s="454"/>
      <c r="J199" s="175">
        <f>J200+J201+J207+J209</f>
        <v>0</v>
      </c>
      <c r="K199" s="175">
        <f t="shared" ref="K199:N199" si="64">K200+K201+K207+K209</f>
        <v>0</v>
      </c>
      <c r="L199" s="175">
        <f t="shared" si="64"/>
        <v>0</v>
      </c>
      <c r="M199" s="175">
        <f t="shared" si="64"/>
        <v>0</v>
      </c>
      <c r="N199" s="175">
        <f t="shared" si="64"/>
        <v>145838.51</v>
      </c>
      <c r="O199" s="175">
        <f t="shared" si="62"/>
        <v>145838.51</v>
      </c>
    </row>
    <row r="200" spans="1:16" ht="16.5" x14ac:dyDescent="0.25">
      <c r="A200" s="449" t="s">
        <v>264</v>
      </c>
      <c r="B200" s="450"/>
      <c r="C200" s="450"/>
      <c r="D200" s="450"/>
      <c r="E200" s="450"/>
      <c r="F200" s="450"/>
      <c r="G200" s="450"/>
      <c r="H200" s="450"/>
      <c r="I200" s="451"/>
      <c r="J200" s="168"/>
      <c r="K200" s="168"/>
      <c r="L200" s="168"/>
      <c r="M200" s="168"/>
      <c r="N200" s="168"/>
      <c r="O200" s="168">
        <f t="shared" si="62"/>
        <v>0</v>
      </c>
    </row>
    <row r="201" spans="1:16" ht="16.5" x14ac:dyDescent="0.25">
      <c r="A201" s="433" t="s">
        <v>265</v>
      </c>
      <c r="B201" s="434"/>
      <c r="C201" s="434"/>
      <c r="D201" s="434"/>
      <c r="E201" s="434"/>
      <c r="F201" s="434"/>
      <c r="G201" s="434"/>
      <c r="H201" s="434"/>
      <c r="I201" s="435"/>
      <c r="J201" s="168">
        <f>SUM(J202:J204)</f>
        <v>0</v>
      </c>
      <c r="K201" s="168">
        <f t="shared" ref="K201:N201" si="65">SUM(K202:K204)</f>
        <v>0</v>
      </c>
      <c r="L201" s="168">
        <f t="shared" si="65"/>
        <v>0</v>
      </c>
      <c r="M201" s="168"/>
      <c r="N201" s="168">
        <f t="shared" si="65"/>
        <v>58321.041758241765</v>
      </c>
      <c r="O201" s="168">
        <f t="shared" si="62"/>
        <v>58321.041758241765</v>
      </c>
    </row>
    <row r="202" spans="1:16" ht="16.5" x14ac:dyDescent="0.25">
      <c r="A202" s="433" t="s">
        <v>172</v>
      </c>
      <c r="B202" s="434"/>
      <c r="C202" s="434"/>
      <c r="D202" s="434"/>
      <c r="E202" s="434"/>
      <c r="F202" s="434"/>
      <c r="G202" s="434"/>
      <c r="H202" s="434"/>
      <c r="I202" s="435"/>
      <c r="J202" s="168"/>
      <c r="K202" s="168"/>
      <c r="L202" s="168"/>
      <c r="M202" s="168"/>
      <c r="N202" s="168">
        <f>592744/W13*W11*90%</f>
        <v>17586.909890109891</v>
      </c>
      <c r="O202" s="168">
        <f t="shared" si="62"/>
        <v>17586.909890109891</v>
      </c>
    </row>
    <row r="203" spans="1:16" ht="16.5" x14ac:dyDescent="0.25">
      <c r="A203" s="433" t="s">
        <v>173</v>
      </c>
      <c r="B203" s="434"/>
      <c r="C203" s="434"/>
      <c r="D203" s="434"/>
      <c r="E203" s="434"/>
      <c r="F203" s="434"/>
      <c r="G203" s="434"/>
      <c r="H203" s="434"/>
      <c r="I203" s="435"/>
      <c r="J203" s="168"/>
      <c r="K203" s="168"/>
      <c r="L203" s="168"/>
      <c r="M203" s="168"/>
      <c r="N203" s="168">
        <f>1982030/W13*W11*50%</f>
        <v>32670.824175824175</v>
      </c>
      <c r="O203" s="168">
        <f t="shared" si="62"/>
        <v>32670.824175824175</v>
      </c>
    </row>
    <row r="204" spans="1:16" ht="16.5" x14ac:dyDescent="0.25">
      <c r="A204" s="433" t="s">
        <v>174</v>
      </c>
      <c r="B204" s="434"/>
      <c r="C204" s="434"/>
      <c r="D204" s="434"/>
      <c r="E204" s="434"/>
      <c r="F204" s="434"/>
      <c r="G204" s="434"/>
      <c r="H204" s="434"/>
      <c r="I204" s="435"/>
      <c r="J204" s="168"/>
      <c r="K204" s="168"/>
      <c r="L204" s="168"/>
      <c r="M204" s="168"/>
      <c r="N204" s="168">
        <f>(108465+136122)/W13*W11</f>
        <v>8063.3076923076933</v>
      </c>
      <c r="O204" s="168">
        <f t="shared" si="62"/>
        <v>8063.3076923076933</v>
      </c>
    </row>
    <row r="205" spans="1:16" ht="16.5" x14ac:dyDescent="0.25">
      <c r="A205" s="433" t="s">
        <v>266</v>
      </c>
      <c r="B205" s="434"/>
      <c r="C205" s="434"/>
      <c r="D205" s="434"/>
      <c r="E205" s="434"/>
      <c r="F205" s="434"/>
      <c r="G205" s="434"/>
      <c r="H205" s="434"/>
      <c r="I205" s="435"/>
      <c r="J205" s="168"/>
      <c r="K205" s="168"/>
      <c r="L205" s="168"/>
      <c r="M205" s="168"/>
      <c r="N205" s="168"/>
      <c r="O205" s="168">
        <f t="shared" si="62"/>
        <v>0</v>
      </c>
      <c r="P205" s="31"/>
    </row>
    <row r="206" spans="1:16" ht="16.5" x14ac:dyDescent="0.25">
      <c r="A206" s="433" t="s">
        <v>267</v>
      </c>
      <c r="B206" s="434"/>
      <c r="C206" s="434"/>
      <c r="D206" s="434"/>
      <c r="E206" s="434"/>
      <c r="F206" s="434"/>
      <c r="G206" s="434"/>
      <c r="H206" s="434"/>
      <c r="I206" s="435"/>
      <c r="J206" s="168"/>
      <c r="K206" s="168"/>
      <c r="L206" s="168"/>
      <c r="M206" s="168"/>
      <c r="N206" s="168"/>
      <c r="O206" s="168">
        <f t="shared" si="62"/>
        <v>0</v>
      </c>
    </row>
    <row r="207" spans="1:16" ht="16.5" x14ac:dyDescent="0.25">
      <c r="A207" s="464" t="s">
        <v>268</v>
      </c>
      <c r="B207" s="465"/>
      <c r="C207" s="465"/>
      <c r="D207" s="465"/>
      <c r="E207" s="465"/>
      <c r="F207" s="465"/>
      <c r="G207" s="465"/>
      <c r="H207" s="465"/>
      <c r="I207" s="466"/>
      <c r="J207" s="175">
        <f>J208</f>
        <v>0</v>
      </c>
      <c r="K207" s="175">
        <f t="shared" ref="K207:N207" si="66">K208</f>
        <v>0</v>
      </c>
      <c r="L207" s="175">
        <f t="shared" si="66"/>
        <v>0</v>
      </c>
      <c r="M207" s="175">
        <f t="shared" si="66"/>
        <v>0</v>
      </c>
      <c r="N207" s="175">
        <f t="shared" si="66"/>
        <v>14305.91</v>
      </c>
      <c r="O207" s="175">
        <f t="shared" si="62"/>
        <v>14305.91</v>
      </c>
    </row>
    <row r="208" spans="1:16" ht="16.5" x14ac:dyDescent="0.25">
      <c r="A208" s="449" t="s">
        <v>271</v>
      </c>
      <c r="B208" s="450"/>
      <c r="C208" s="450"/>
      <c r="D208" s="450"/>
      <c r="E208" s="450"/>
      <c r="F208" s="450"/>
      <c r="G208" s="450"/>
      <c r="H208" s="450"/>
      <c r="I208" s="451"/>
      <c r="J208" s="174"/>
      <c r="K208" s="168"/>
      <c r="L208" s="168"/>
      <c r="M208" s="168"/>
      <c r="N208" s="168">
        <v>14305.91</v>
      </c>
      <c r="O208" s="168">
        <f t="shared" si="62"/>
        <v>14305.91</v>
      </c>
    </row>
    <row r="209" spans="1:20" ht="16.5" x14ac:dyDescent="0.25">
      <c r="A209" s="433" t="s">
        <v>270</v>
      </c>
      <c r="B209" s="434"/>
      <c r="C209" s="434"/>
      <c r="D209" s="434"/>
      <c r="E209" s="434"/>
      <c r="F209" s="434"/>
      <c r="G209" s="434"/>
      <c r="H209" s="434"/>
      <c r="I209" s="435"/>
      <c r="J209" s="175">
        <f>J210</f>
        <v>0</v>
      </c>
      <c r="K209" s="175">
        <f t="shared" ref="K209:N209" si="67">K210</f>
        <v>0</v>
      </c>
      <c r="L209" s="175">
        <f t="shared" si="67"/>
        <v>0</v>
      </c>
      <c r="M209" s="175">
        <f t="shared" si="67"/>
        <v>0</v>
      </c>
      <c r="N209" s="175">
        <f t="shared" si="67"/>
        <v>73211.558241758234</v>
      </c>
      <c r="O209" s="175">
        <f t="shared" si="62"/>
        <v>73211.558241758234</v>
      </c>
    </row>
    <row r="210" spans="1:20" ht="16.5" x14ac:dyDescent="0.25">
      <c r="A210" s="449" t="s">
        <v>269</v>
      </c>
      <c r="B210" s="450"/>
      <c r="C210" s="450"/>
      <c r="D210" s="450"/>
      <c r="E210" s="450"/>
      <c r="F210" s="450"/>
      <c r="G210" s="450"/>
      <c r="H210" s="450"/>
      <c r="I210" s="451"/>
      <c r="J210" s="168"/>
      <c r="K210" s="168"/>
      <c r="L210" s="168"/>
      <c r="M210" s="168"/>
      <c r="N210" s="168">
        <f>26776.75+989.01+103766.84-N201</f>
        <v>73211.558241758234</v>
      </c>
      <c r="O210" s="168">
        <f t="shared" si="62"/>
        <v>73211.558241758234</v>
      </c>
    </row>
    <row r="211" spans="1:20" ht="16.5" x14ac:dyDescent="0.25">
      <c r="A211" s="452" t="s">
        <v>183</v>
      </c>
      <c r="B211" s="453"/>
      <c r="C211" s="453"/>
      <c r="D211" s="453"/>
      <c r="E211" s="453"/>
      <c r="F211" s="453"/>
      <c r="G211" s="453"/>
      <c r="H211" s="453"/>
      <c r="I211" s="454"/>
      <c r="J211" s="247" t="s">
        <v>405</v>
      </c>
      <c r="K211" s="247">
        <f t="shared" ref="K211:O211" si="68">K194+K199</f>
        <v>0</v>
      </c>
      <c r="L211" s="247">
        <f t="shared" si="68"/>
        <v>0</v>
      </c>
      <c r="M211" s="247">
        <f t="shared" si="68"/>
        <v>0</v>
      </c>
      <c r="N211" s="247">
        <f t="shared" si="68"/>
        <v>230076.40000000002</v>
      </c>
      <c r="O211" s="247">
        <f t="shared" si="68"/>
        <v>230076.40000000002</v>
      </c>
      <c r="P211" s="31"/>
    </row>
    <row r="212" spans="1:20" ht="16.5" x14ac:dyDescent="0.25">
      <c r="A212" s="433" t="s">
        <v>275</v>
      </c>
      <c r="B212" s="434"/>
      <c r="C212" s="434"/>
      <c r="D212" s="434"/>
      <c r="E212" s="434"/>
      <c r="F212" s="434"/>
      <c r="G212" s="434"/>
      <c r="H212" s="434"/>
      <c r="I212" s="435"/>
      <c r="J212" s="168">
        <f>J194+J199</f>
        <v>0</v>
      </c>
      <c r="K212" s="168">
        <f t="shared" ref="K212:O212" si="69">K194+K199</f>
        <v>0</v>
      </c>
      <c r="L212" s="168">
        <f t="shared" si="69"/>
        <v>0</v>
      </c>
      <c r="M212" s="168">
        <f t="shared" si="69"/>
        <v>0</v>
      </c>
      <c r="N212" s="168">
        <f>N211/W11</f>
        <v>76692.133333333346</v>
      </c>
      <c r="O212" s="168">
        <f t="shared" si="69"/>
        <v>230076.40000000002</v>
      </c>
    </row>
    <row r="213" spans="1:20" s="159" customFormat="1" ht="16.5" x14ac:dyDescent="0.25">
      <c r="A213" s="169"/>
      <c r="B213" s="169"/>
      <c r="C213" s="169"/>
      <c r="D213" s="169"/>
      <c r="E213" s="169"/>
      <c r="F213" s="169"/>
      <c r="G213" s="169"/>
      <c r="H213" s="169"/>
      <c r="I213" s="169"/>
      <c r="J213" s="169"/>
      <c r="K213" s="169"/>
      <c r="L213" s="169"/>
      <c r="M213" s="169"/>
      <c r="N213" s="169"/>
      <c r="O213" s="169"/>
      <c r="P213"/>
    </row>
    <row r="214" spans="1:20" s="159" customFormat="1" ht="16.5" x14ac:dyDescent="0.25">
      <c r="A214" s="169"/>
      <c r="B214" s="169"/>
      <c r="C214" s="169"/>
      <c r="D214" s="169"/>
      <c r="E214" s="169"/>
      <c r="F214" s="169"/>
      <c r="G214" s="169"/>
      <c r="H214" s="169"/>
      <c r="I214" s="169"/>
      <c r="J214" s="169"/>
      <c r="K214" s="169"/>
      <c r="L214" s="169"/>
      <c r="M214" s="169" t="s">
        <v>337</v>
      </c>
      <c r="N214" s="169"/>
      <c r="O214" s="169"/>
      <c r="P214"/>
      <c r="Q214"/>
    </row>
    <row r="215" spans="1:20" ht="16.5" x14ac:dyDescent="0.25">
      <c r="A215" s="169"/>
      <c r="B215" s="169"/>
      <c r="C215" s="169"/>
      <c r="D215" s="169"/>
      <c r="E215" s="169"/>
      <c r="F215" s="169"/>
      <c r="G215" s="169"/>
      <c r="H215" s="169"/>
      <c r="I215" s="169"/>
      <c r="J215" s="169"/>
      <c r="K215" s="169"/>
      <c r="L215" s="169"/>
      <c r="M215" s="169"/>
      <c r="N215" s="169"/>
      <c r="O215" s="169"/>
    </row>
    <row r="216" spans="1:20" ht="33" x14ac:dyDescent="0.25">
      <c r="A216" s="455" t="s">
        <v>315</v>
      </c>
      <c r="B216" s="456"/>
      <c r="C216" s="456"/>
      <c r="D216" s="456"/>
      <c r="E216" s="456"/>
      <c r="F216" s="456"/>
      <c r="G216" s="456"/>
      <c r="H216" s="456"/>
      <c r="I216" s="457"/>
      <c r="J216" s="164" t="s">
        <v>185</v>
      </c>
      <c r="K216" s="164" t="s">
        <v>186</v>
      </c>
      <c r="L216" s="165" t="s">
        <v>187</v>
      </c>
      <c r="M216" s="164" t="s">
        <v>188</v>
      </c>
      <c r="N216" s="164" t="s">
        <v>189</v>
      </c>
      <c r="O216" s="164" t="s">
        <v>183</v>
      </c>
    </row>
    <row r="217" spans="1:20" ht="15" customHeight="1" x14ac:dyDescent="0.25">
      <c r="A217" s="469" t="s">
        <v>272</v>
      </c>
      <c r="B217" s="470"/>
      <c r="C217" s="470"/>
      <c r="D217" s="470"/>
      <c r="E217" s="470"/>
      <c r="F217" s="470"/>
      <c r="G217" s="470"/>
      <c r="H217" s="470"/>
      <c r="I217" s="470"/>
      <c r="J217" s="470"/>
      <c r="K217" s="470"/>
      <c r="L217" s="470"/>
      <c r="M217" s="470"/>
      <c r="N217" s="470"/>
      <c r="O217" s="471"/>
      <c r="T217" t="s">
        <v>406</v>
      </c>
    </row>
    <row r="218" spans="1:20" ht="16.5" x14ac:dyDescent="0.25">
      <c r="A218" s="458" t="s">
        <v>258</v>
      </c>
      <c r="B218" s="459"/>
      <c r="C218" s="459"/>
      <c r="D218" s="459"/>
      <c r="E218" s="459"/>
      <c r="F218" s="459"/>
      <c r="G218" s="459"/>
      <c r="H218" s="459"/>
      <c r="I218" s="460"/>
      <c r="J218" s="205">
        <f>J219+J220+J222</f>
        <v>414484.3</v>
      </c>
      <c r="K218" s="205">
        <f t="shared" ref="K218:O218" si="70">K219+K220+K222</f>
        <v>0</v>
      </c>
      <c r="L218" s="205">
        <f t="shared" si="70"/>
        <v>0</v>
      </c>
      <c r="M218" s="205">
        <f>M219+M220+M222</f>
        <v>20280</v>
      </c>
      <c r="N218" s="205">
        <f>N219+N221+N222</f>
        <v>347614.16000000003</v>
      </c>
      <c r="O218" s="205">
        <f t="shared" si="70"/>
        <v>782378.46</v>
      </c>
    </row>
    <row r="219" spans="1:20" ht="16.5" x14ac:dyDescent="0.25">
      <c r="A219" s="461" t="s">
        <v>259</v>
      </c>
      <c r="B219" s="472"/>
      <c r="C219" s="472"/>
      <c r="D219" s="472"/>
      <c r="E219" s="472"/>
      <c r="F219" s="472"/>
      <c r="G219" s="472"/>
      <c r="H219" s="472"/>
      <c r="I219" s="473"/>
      <c r="J219" s="173"/>
      <c r="K219" s="173"/>
      <c r="L219" s="173"/>
      <c r="M219" s="173"/>
      <c r="N219" s="173"/>
      <c r="O219" s="173">
        <f t="shared" ref="O219:O235" si="71">SUM(J219:N219)</f>
        <v>0</v>
      </c>
    </row>
    <row r="220" spans="1:20" ht="16.5" x14ac:dyDescent="0.25">
      <c r="A220" s="433" t="s">
        <v>260</v>
      </c>
      <c r="B220" s="434"/>
      <c r="C220" s="434"/>
      <c r="D220" s="434"/>
      <c r="E220" s="434"/>
      <c r="F220" s="434"/>
      <c r="G220" s="434"/>
      <c r="H220" s="434"/>
      <c r="I220" s="435"/>
      <c r="J220" s="173">
        <f>J221</f>
        <v>84415.48</v>
      </c>
      <c r="K220" s="173">
        <f t="shared" ref="K220:O220" si="72">K221</f>
        <v>0</v>
      </c>
      <c r="L220" s="173">
        <f t="shared" si="72"/>
        <v>0</v>
      </c>
      <c r="M220" s="173">
        <f>M221</f>
        <v>8310.77</v>
      </c>
      <c r="N220" s="173">
        <f t="shared" si="72"/>
        <v>87107.57</v>
      </c>
      <c r="O220" s="213">
        <f t="shared" si="72"/>
        <v>179833.82</v>
      </c>
    </row>
    <row r="221" spans="1:20" ht="30" customHeight="1" x14ac:dyDescent="0.25">
      <c r="A221" s="449" t="s">
        <v>261</v>
      </c>
      <c r="B221" s="450"/>
      <c r="C221" s="450"/>
      <c r="D221" s="450"/>
      <c r="E221" s="450"/>
      <c r="F221" s="450"/>
      <c r="G221" s="450"/>
      <c r="H221" s="450"/>
      <c r="I221" s="451"/>
      <c r="J221" s="173">
        <f>84415.48</f>
        <v>84415.48</v>
      </c>
      <c r="K221" s="173"/>
      <c r="L221" s="173"/>
      <c r="M221" s="173">
        <v>8310.77</v>
      </c>
      <c r="N221" s="173">
        <v>87107.57</v>
      </c>
      <c r="O221" s="173">
        <f>SUM(J221:N221)</f>
        <v>179833.82</v>
      </c>
    </row>
    <row r="222" spans="1:20" ht="16.5" x14ac:dyDescent="0.25">
      <c r="A222" s="433" t="s">
        <v>262</v>
      </c>
      <c r="B222" s="434"/>
      <c r="C222" s="434"/>
      <c r="D222" s="434"/>
      <c r="E222" s="434"/>
      <c r="F222" s="434"/>
      <c r="G222" s="434"/>
      <c r="H222" s="434"/>
      <c r="I222" s="435"/>
      <c r="J222" s="173">
        <f>330068.82</f>
        <v>330068.82</v>
      </c>
      <c r="K222" s="173"/>
      <c r="L222" s="173"/>
      <c r="M222" s="173">
        <f>11969.23</f>
        <v>11969.23</v>
      </c>
      <c r="N222" s="173">
        <f>260506.59</f>
        <v>260506.59</v>
      </c>
      <c r="O222" s="173">
        <f t="shared" si="71"/>
        <v>602544.64000000001</v>
      </c>
    </row>
    <row r="223" spans="1:20" ht="16.5" x14ac:dyDescent="0.25">
      <c r="A223" s="452" t="s">
        <v>263</v>
      </c>
      <c r="B223" s="453"/>
      <c r="C223" s="453"/>
      <c r="D223" s="453"/>
      <c r="E223" s="453"/>
      <c r="F223" s="453"/>
      <c r="G223" s="453"/>
      <c r="H223" s="453"/>
      <c r="I223" s="454"/>
      <c r="J223" s="205">
        <f>J224+J225+J231+J233</f>
        <v>1373378.83</v>
      </c>
      <c r="K223" s="205">
        <f>K224+K225+K232+K233</f>
        <v>0</v>
      </c>
      <c r="L223" s="205">
        <f t="shared" ref="L223:N223" si="73">L224+L225+L231+L233</f>
        <v>0</v>
      </c>
      <c r="M223" s="205">
        <f t="shared" si="73"/>
        <v>696840.7</v>
      </c>
      <c r="N223" s="205">
        <f t="shared" si="73"/>
        <v>1416304.87</v>
      </c>
      <c r="O223" s="205">
        <f t="shared" si="71"/>
        <v>3486524.4000000004</v>
      </c>
    </row>
    <row r="224" spans="1:20" ht="16.5" x14ac:dyDescent="0.25">
      <c r="A224" s="449" t="s">
        <v>264</v>
      </c>
      <c r="B224" s="450"/>
      <c r="C224" s="450"/>
      <c r="D224" s="450"/>
      <c r="E224" s="450"/>
      <c r="F224" s="450"/>
      <c r="G224" s="450"/>
      <c r="H224" s="450"/>
      <c r="I224" s="451"/>
      <c r="J224" s="173"/>
      <c r="K224" s="173"/>
      <c r="L224" s="173"/>
      <c r="M224" s="173"/>
      <c r="N224" s="173">
        <f>Z183</f>
        <v>0</v>
      </c>
      <c r="O224" s="173">
        <f t="shared" si="71"/>
        <v>0</v>
      </c>
    </row>
    <row r="225" spans="1:16" ht="16.5" x14ac:dyDescent="0.25">
      <c r="A225" s="433" t="s">
        <v>265</v>
      </c>
      <c r="B225" s="434"/>
      <c r="C225" s="434"/>
      <c r="D225" s="434"/>
      <c r="E225" s="434"/>
      <c r="F225" s="434"/>
      <c r="G225" s="434"/>
      <c r="H225" s="434"/>
      <c r="I225" s="435"/>
      <c r="J225" s="173">
        <f>SUM(J226:J228)</f>
        <v>512207.0853046595</v>
      </c>
      <c r="K225" s="173">
        <f t="shared" ref="K225:N225" si="74">SUM(K226:K228)</f>
        <v>0</v>
      </c>
      <c r="L225" s="173">
        <f t="shared" si="74"/>
        <v>0</v>
      </c>
      <c r="M225" s="173">
        <f t="shared" si="74"/>
        <v>198985.4806451613</v>
      </c>
      <c r="N225" s="173">
        <f t="shared" si="74"/>
        <v>416163.66813186812</v>
      </c>
      <c r="O225" s="173">
        <f t="shared" si="71"/>
        <v>1127356.2340816888</v>
      </c>
    </row>
    <row r="226" spans="1:16" ht="16.5" x14ac:dyDescent="0.25">
      <c r="A226" s="433" t="s">
        <v>172</v>
      </c>
      <c r="B226" s="434"/>
      <c r="C226" s="434"/>
      <c r="D226" s="434"/>
      <c r="E226" s="434"/>
      <c r="F226" s="434"/>
      <c r="G226" s="434"/>
      <c r="H226" s="434"/>
      <c r="I226" s="435"/>
      <c r="J226" s="173">
        <f>1222534/G13*G12*90%</f>
        <v>110422.4258064516</v>
      </c>
      <c r="K226" s="173"/>
      <c r="L226" s="173"/>
      <c r="M226" s="173">
        <f>240802/31*3*90%</f>
        <v>20973.077419354842</v>
      </c>
      <c r="N226" s="173">
        <f>592744/W13*W12*90%</f>
        <v>134832.97582417581</v>
      </c>
      <c r="O226" s="173">
        <f t="shared" si="71"/>
        <v>266228.47904998227</v>
      </c>
    </row>
    <row r="227" spans="1:16" ht="16.5" x14ac:dyDescent="0.25">
      <c r="A227" s="433" t="s">
        <v>173</v>
      </c>
      <c r="B227" s="434"/>
      <c r="C227" s="434"/>
      <c r="D227" s="434"/>
      <c r="E227" s="434"/>
      <c r="F227" s="434"/>
      <c r="G227" s="434"/>
      <c r="H227" s="434"/>
      <c r="I227" s="435"/>
      <c r="J227" s="173">
        <f>6098553/G13*88*50%</f>
        <v>320592.98924731184</v>
      </c>
      <c r="K227" s="173"/>
      <c r="L227" s="173"/>
      <c r="M227" s="173">
        <f>3635537/31*3*50%</f>
        <v>175913.0806451613</v>
      </c>
      <c r="N227" s="173">
        <f>1982030/W13*W12*50%</f>
        <v>250476.31868131866</v>
      </c>
      <c r="O227" s="173">
        <f t="shared" si="71"/>
        <v>746982.38857379183</v>
      </c>
    </row>
    <row r="228" spans="1:16" ht="16.5" x14ac:dyDescent="0.25">
      <c r="A228" s="433" t="s">
        <v>174</v>
      </c>
      <c r="B228" s="434"/>
      <c r="C228" s="434"/>
      <c r="D228" s="434"/>
      <c r="E228" s="434"/>
      <c r="F228" s="434"/>
      <c r="G228" s="434"/>
      <c r="H228" s="434"/>
      <c r="I228" s="435"/>
      <c r="J228" s="173">
        <f>(358768+450249)/G13*G12</f>
        <v>81191.670250896059</v>
      </c>
      <c r="K228" s="173"/>
      <c r="L228" s="173"/>
      <c r="M228" s="173">
        <f>21693/31*3</f>
        <v>2099.322580645161</v>
      </c>
      <c r="N228" s="173">
        <f>(108465+13611)/W13*W12</f>
        <v>30854.373626373628</v>
      </c>
      <c r="O228" s="173">
        <f t="shared" si="71"/>
        <v>114145.36645791485</v>
      </c>
    </row>
    <row r="229" spans="1:16" ht="16.5" x14ac:dyDescent="0.25">
      <c r="A229" s="433" t="s">
        <v>266</v>
      </c>
      <c r="B229" s="434"/>
      <c r="C229" s="434"/>
      <c r="D229" s="434"/>
      <c r="E229" s="434"/>
      <c r="F229" s="434"/>
      <c r="G229" s="434"/>
      <c r="H229" s="434"/>
      <c r="I229" s="435"/>
      <c r="J229" s="173"/>
      <c r="K229" s="173"/>
      <c r="L229" s="173"/>
      <c r="M229" s="173"/>
      <c r="N229" s="173"/>
      <c r="O229" s="173">
        <f t="shared" si="71"/>
        <v>0</v>
      </c>
    </row>
    <row r="230" spans="1:16" ht="16.5" x14ac:dyDescent="0.25">
      <c r="A230" s="433" t="s">
        <v>267</v>
      </c>
      <c r="B230" s="434"/>
      <c r="C230" s="434"/>
      <c r="D230" s="434"/>
      <c r="E230" s="434"/>
      <c r="F230" s="434"/>
      <c r="G230" s="434"/>
      <c r="H230" s="434"/>
      <c r="I230" s="435"/>
      <c r="J230" s="173"/>
      <c r="K230" s="173"/>
      <c r="L230" s="173"/>
      <c r="M230" s="173"/>
      <c r="N230" s="173"/>
      <c r="O230" s="173">
        <f t="shared" si="71"/>
        <v>0</v>
      </c>
    </row>
    <row r="231" spans="1:16" ht="16.5" x14ac:dyDescent="0.25">
      <c r="A231" s="464" t="s">
        <v>268</v>
      </c>
      <c r="B231" s="465"/>
      <c r="C231" s="465"/>
      <c r="D231" s="465"/>
      <c r="E231" s="465"/>
      <c r="F231" s="465"/>
      <c r="G231" s="465"/>
      <c r="H231" s="465"/>
      <c r="I231" s="466"/>
      <c r="J231" s="205">
        <f>J232</f>
        <v>140153.03999999998</v>
      </c>
      <c r="K231" s="205">
        <f>K232</f>
        <v>0</v>
      </c>
      <c r="L231" s="205">
        <f>L232</f>
        <v>0</v>
      </c>
      <c r="M231" s="205">
        <f>M232</f>
        <v>224784.80000000002</v>
      </c>
      <c r="N231" s="205">
        <f>N232</f>
        <v>109678.66</v>
      </c>
      <c r="O231" s="205">
        <f t="shared" si="71"/>
        <v>474616.5</v>
      </c>
    </row>
    <row r="232" spans="1:16" ht="16.5" x14ac:dyDescent="0.25">
      <c r="A232" s="449" t="s">
        <v>271</v>
      </c>
      <c r="B232" s="450"/>
      <c r="C232" s="450"/>
      <c r="D232" s="450"/>
      <c r="E232" s="450"/>
      <c r="F232" s="450"/>
      <c r="G232" s="450"/>
      <c r="H232" s="450"/>
      <c r="I232" s="451"/>
      <c r="J232" s="173">
        <f>95559.68+44593.36</f>
        <v>140153.03999999998</v>
      </c>
      <c r="K232" s="173"/>
      <c r="L232" s="173"/>
      <c r="M232" s="173">
        <f>48158.23+176626.57</f>
        <v>224784.80000000002</v>
      </c>
      <c r="N232" s="173">
        <v>109678.66</v>
      </c>
      <c r="O232" s="173">
        <f t="shared" si="71"/>
        <v>474616.5</v>
      </c>
    </row>
    <row r="233" spans="1:16" ht="16.5" x14ac:dyDescent="0.25">
      <c r="A233" s="433" t="s">
        <v>270</v>
      </c>
      <c r="B233" s="434"/>
      <c r="C233" s="434"/>
      <c r="D233" s="434"/>
      <c r="E233" s="434"/>
      <c r="F233" s="434"/>
      <c r="G233" s="434"/>
      <c r="H233" s="434"/>
      <c r="I233" s="435"/>
      <c r="J233" s="205">
        <f>J234</f>
        <v>721018.7046953406</v>
      </c>
      <c r="K233" s="205">
        <f>K234</f>
        <v>0</v>
      </c>
      <c r="L233" s="205">
        <f>L234</f>
        <v>0</v>
      </c>
      <c r="M233" s="205">
        <f t="shared" ref="M233:N233" si="75">M234</f>
        <v>273070.41935483873</v>
      </c>
      <c r="N233" s="205">
        <f t="shared" si="75"/>
        <v>890462.54186813184</v>
      </c>
      <c r="O233" s="205">
        <f t="shared" si="71"/>
        <v>1884551.6659183111</v>
      </c>
    </row>
    <row r="234" spans="1:16" ht="16.5" x14ac:dyDescent="0.25">
      <c r="A234" s="449" t="s">
        <v>269</v>
      </c>
      <c r="B234" s="450"/>
      <c r="C234" s="450"/>
      <c r="D234" s="450"/>
      <c r="E234" s="450"/>
      <c r="F234" s="450"/>
      <c r="G234" s="450"/>
      <c r="H234" s="450"/>
      <c r="I234" s="451"/>
      <c r="J234" s="173">
        <f>821591.25+276282.14-J225+135352.4</f>
        <v>721018.7046953406</v>
      </c>
      <c r="K234" s="173"/>
      <c r="L234" s="173"/>
      <c r="M234" s="173">
        <f>356820.77+48499.65-M225+66735.48</f>
        <v>273070.41935483873</v>
      </c>
      <c r="N234" s="173">
        <f>795545.74+205288.4-N225+7582.41+298209.66</f>
        <v>890462.54186813184</v>
      </c>
      <c r="O234" s="173">
        <f t="shared" si="71"/>
        <v>1884551.6659183111</v>
      </c>
    </row>
    <row r="235" spans="1:16" ht="16.5" x14ac:dyDescent="0.25">
      <c r="A235" s="452" t="s">
        <v>183</v>
      </c>
      <c r="B235" s="453"/>
      <c r="C235" s="453"/>
      <c r="D235" s="453"/>
      <c r="E235" s="453"/>
      <c r="F235" s="453"/>
      <c r="G235" s="453"/>
      <c r="H235" s="453"/>
      <c r="I235" s="454"/>
      <c r="J235" s="247">
        <f>J218+J223</f>
        <v>1787863.1300000001</v>
      </c>
      <c r="K235" s="247">
        <f t="shared" ref="K235:N235" si="76">K218+K223</f>
        <v>0</v>
      </c>
      <c r="L235" s="247">
        <f t="shared" si="76"/>
        <v>0</v>
      </c>
      <c r="M235" s="247">
        <f t="shared" si="76"/>
        <v>717120.7</v>
      </c>
      <c r="N235" s="247">
        <f t="shared" si="76"/>
        <v>1763919.0300000003</v>
      </c>
      <c r="O235" s="247">
        <f t="shared" si="71"/>
        <v>4268902.8600000003</v>
      </c>
    </row>
    <row r="236" spans="1:16" ht="16.5" x14ac:dyDescent="0.25">
      <c r="A236" s="442" t="s">
        <v>274</v>
      </c>
      <c r="B236" s="442"/>
      <c r="C236" s="442"/>
      <c r="D236" s="442"/>
      <c r="E236" s="442"/>
      <c r="F236" s="442"/>
      <c r="G236" s="442"/>
      <c r="H236" s="442"/>
      <c r="I236" s="442"/>
      <c r="J236" s="173">
        <f>J235/G12</f>
        <v>21284.084880952381</v>
      </c>
      <c r="K236" s="173">
        <f>K235/H11</f>
        <v>0</v>
      </c>
      <c r="L236" s="173"/>
      <c r="M236" s="173">
        <f>M235/S12</f>
        <v>239040.23333333331</v>
      </c>
      <c r="N236" s="173">
        <f>N235/W12</f>
        <v>76692.131739130447</v>
      </c>
      <c r="O236" s="173"/>
      <c r="P236" s="31"/>
    </row>
    <row r="239" spans="1:16" ht="16.5" x14ac:dyDescent="0.25">
      <c r="A239" s="169"/>
      <c r="B239" s="169"/>
      <c r="C239" s="169"/>
      <c r="D239" s="169"/>
      <c r="E239" s="169"/>
      <c r="F239" s="169"/>
      <c r="G239" s="169"/>
      <c r="H239" s="169"/>
      <c r="I239" s="169"/>
      <c r="J239" s="169"/>
      <c r="K239" s="169"/>
      <c r="L239" s="169"/>
      <c r="M239" s="169"/>
      <c r="N239" s="169"/>
      <c r="O239" s="169"/>
    </row>
    <row r="240" spans="1:16" ht="16.5" x14ac:dyDescent="0.25">
      <c r="A240" s="169"/>
      <c r="B240" s="169"/>
      <c r="C240" s="169"/>
      <c r="D240" s="169"/>
      <c r="E240" s="169"/>
      <c r="F240" s="169"/>
      <c r="G240" s="169"/>
      <c r="H240" s="169"/>
      <c r="I240" s="169"/>
      <c r="J240" s="169"/>
      <c r="K240" s="169"/>
      <c r="L240" s="169"/>
      <c r="M240" s="169"/>
      <c r="N240" s="169" t="s">
        <v>342</v>
      </c>
      <c r="O240" s="169"/>
    </row>
    <row r="241" spans="1:15" ht="33" x14ac:dyDescent="0.25">
      <c r="A241" s="455" t="s">
        <v>307</v>
      </c>
      <c r="B241" s="456"/>
      <c r="C241" s="456"/>
      <c r="D241" s="456"/>
      <c r="E241" s="456"/>
      <c r="F241" s="456"/>
      <c r="G241" s="456"/>
      <c r="H241" s="456"/>
      <c r="I241" s="457"/>
      <c r="J241" s="164" t="s">
        <v>185</v>
      </c>
      <c r="K241" s="164" t="s">
        <v>186</v>
      </c>
      <c r="L241" s="165" t="s">
        <v>187</v>
      </c>
      <c r="M241" s="164" t="s">
        <v>188</v>
      </c>
      <c r="N241" s="164" t="s">
        <v>189</v>
      </c>
      <c r="O241" s="164" t="s">
        <v>183</v>
      </c>
    </row>
    <row r="242" spans="1:15" ht="16.5" x14ac:dyDescent="0.25">
      <c r="A242" s="458" t="s">
        <v>321</v>
      </c>
      <c r="B242" s="459"/>
      <c r="C242" s="459"/>
      <c r="D242" s="459"/>
      <c r="E242" s="459"/>
      <c r="F242" s="459"/>
      <c r="G242" s="459"/>
      <c r="H242" s="459"/>
      <c r="I242" s="459"/>
      <c r="J242" s="459"/>
      <c r="K242" s="459"/>
      <c r="L242" s="459"/>
      <c r="M242" s="459"/>
      <c r="N242" s="459"/>
      <c r="O242" s="460"/>
    </row>
    <row r="243" spans="1:15" ht="16.5" x14ac:dyDescent="0.25">
      <c r="A243" s="458" t="s">
        <v>170</v>
      </c>
      <c r="B243" s="459"/>
      <c r="C243" s="459"/>
      <c r="D243" s="459"/>
      <c r="E243" s="459"/>
      <c r="F243" s="459"/>
      <c r="G243" s="459"/>
      <c r="H243" s="459"/>
      <c r="I243" s="460"/>
      <c r="J243" s="175">
        <f>J244+J246+J247</f>
        <v>4934.34</v>
      </c>
      <c r="K243" s="175">
        <f>K244+K246+K247</f>
        <v>0</v>
      </c>
      <c r="L243" s="175">
        <f t="shared" ref="L243:N243" si="77">L244+L246+L247</f>
        <v>0</v>
      </c>
      <c r="M243" s="175">
        <f t="shared" si="77"/>
        <v>0</v>
      </c>
      <c r="N243" s="175">
        <f t="shared" si="77"/>
        <v>0</v>
      </c>
      <c r="O243" s="175">
        <f>SUM(J243:N243)</f>
        <v>4934.34</v>
      </c>
    </row>
    <row r="244" spans="1:15" ht="16.5" x14ac:dyDescent="0.25">
      <c r="A244" s="461" t="s">
        <v>259</v>
      </c>
      <c r="B244" s="462"/>
      <c r="C244" s="462"/>
      <c r="D244" s="462"/>
      <c r="E244" s="462"/>
      <c r="F244" s="462"/>
      <c r="G244" s="462"/>
      <c r="H244" s="462"/>
      <c r="I244" s="463"/>
      <c r="J244" s="172"/>
      <c r="K244" s="172"/>
      <c r="L244" s="172"/>
      <c r="M244" s="172"/>
      <c r="N244" s="172"/>
      <c r="O244" s="168">
        <f t="shared" ref="O244:O259" si="78">SUM(J244:N244)</f>
        <v>0</v>
      </c>
    </row>
    <row r="245" spans="1:15" ht="16.5" x14ac:dyDescent="0.25">
      <c r="A245" s="433" t="s">
        <v>260</v>
      </c>
      <c r="B245" s="434"/>
      <c r="C245" s="434"/>
      <c r="D245" s="434"/>
      <c r="E245" s="434"/>
      <c r="F245" s="434"/>
      <c r="G245" s="434"/>
      <c r="H245" s="434"/>
      <c r="I245" s="435"/>
      <c r="J245" s="176">
        <f>J246</f>
        <v>1004.95</v>
      </c>
      <c r="K245" s="168"/>
      <c r="L245" s="168"/>
      <c r="M245" s="168"/>
      <c r="N245" s="168"/>
      <c r="O245" s="168">
        <f t="shared" si="78"/>
        <v>1004.95</v>
      </c>
    </row>
    <row r="246" spans="1:15" ht="16.5" x14ac:dyDescent="0.25">
      <c r="A246" s="449" t="s">
        <v>261</v>
      </c>
      <c r="B246" s="450"/>
      <c r="C246" s="450"/>
      <c r="D246" s="450"/>
      <c r="E246" s="450"/>
      <c r="F246" s="450"/>
      <c r="G246" s="450"/>
      <c r="H246" s="450"/>
      <c r="I246" s="451"/>
      <c r="J246" s="177">
        <f>1004.95</f>
        <v>1004.95</v>
      </c>
      <c r="K246" s="168"/>
      <c r="L246" s="168"/>
      <c r="M246" s="168"/>
      <c r="N246" s="168"/>
      <c r="O246" s="168">
        <f t="shared" si="78"/>
        <v>1004.95</v>
      </c>
    </row>
    <row r="247" spans="1:15" ht="16.5" x14ac:dyDescent="0.25">
      <c r="A247" s="433" t="s">
        <v>262</v>
      </c>
      <c r="B247" s="434"/>
      <c r="C247" s="434"/>
      <c r="D247" s="434"/>
      <c r="E247" s="434"/>
      <c r="F247" s="434"/>
      <c r="G247" s="434"/>
      <c r="H247" s="434"/>
      <c r="I247" s="435"/>
      <c r="J247" s="177">
        <f>3929.39</f>
        <v>3929.39</v>
      </c>
      <c r="K247" s="168"/>
      <c r="L247" s="168"/>
      <c r="M247" s="168"/>
      <c r="N247" s="168"/>
      <c r="O247" s="168">
        <f t="shared" si="78"/>
        <v>3929.39</v>
      </c>
    </row>
    <row r="248" spans="1:15" ht="16.5" x14ac:dyDescent="0.25">
      <c r="A248" s="458" t="s">
        <v>177</v>
      </c>
      <c r="B248" s="459"/>
      <c r="C248" s="459"/>
      <c r="D248" s="459"/>
      <c r="E248" s="459"/>
      <c r="F248" s="459"/>
      <c r="G248" s="459"/>
      <c r="H248" s="459"/>
      <c r="I248" s="460"/>
      <c r="J248" s="206">
        <f>J249+J250+J254+J255+J256+J258</f>
        <v>16349.74</v>
      </c>
      <c r="K248" s="175"/>
      <c r="L248" s="175"/>
      <c r="M248" s="175"/>
      <c r="N248" s="175"/>
      <c r="O248" s="175">
        <f t="shared" si="78"/>
        <v>16349.74</v>
      </c>
    </row>
    <row r="249" spans="1:15" ht="16.5" x14ac:dyDescent="0.25">
      <c r="A249" s="449" t="s">
        <v>264</v>
      </c>
      <c r="B249" s="450"/>
      <c r="C249" s="450"/>
      <c r="D249" s="450"/>
      <c r="E249" s="450"/>
      <c r="F249" s="450"/>
      <c r="G249" s="450"/>
      <c r="H249" s="450"/>
      <c r="I249" s="451"/>
      <c r="J249" s="177"/>
      <c r="K249" s="168"/>
      <c r="L249" s="168"/>
      <c r="M249" s="168"/>
      <c r="N249" s="168"/>
      <c r="O249" s="168">
        <f t="shared" si="78"/>
        <v>0</v>
      </c>
    </row>
    <row r="250" spans="1:15" ht="16.5" x14ac:dyDescent="0.25">
      <c r="A250" s="433" t="s">
        <v>265</v>
      </c>
      <c r="B250" s="434"/>
      <c r="C250" s="434"/>
      <c r="D250" s="434"/>
      <c r="E250" s="434"/>
      <c r="F250" s="434"/>
      <c r="G250" s="434"/>
      <c r="H250" s="434"/>
      <c r="I250" s="435"/>
      <c r="J250" s="177">
        <f>J251+J252+J253</f>
        <v>5924.2223416965353</v>
      </c>
      <c r="K250" s="168"/>
      <c r="L250" s="168"/>
      <c r="M250" s="168"/>
      <c r="N250" s="168"/>
      <c r="O250" s="168">
        <f t="shared" si="78"/>
        <v>5924.2223416965353</v>
      </c>
    </row>
    <row r="251" spans="1:15" ht="16.5" x14ac:dyDescent="0.25">
      <c r="A251" s="433" t="s">
        <v>172</v>
      </c>
      <c r="B251" s="434"/>
      <c r="C251" s="434"/>
      <c r="D251" s="434"/>
      <c r="E251" s="434"/>
      <c r="F251" s="434"/>
      <c r="G251" s="434"/>
      <c r="H251" s="434"/>
      <c r="I251" s="435"/>
      <c r="J251" s="177">
        <f>1222534/G13*G6*90%</f>
        <v>1314.552688172043</v>
      </c>
      <c r="K251" s="168"/>
      <c r="L251" s="168"/>
      <c r="M251" s="168"/>
      <c r="N251" s="168"/>
      <c r="O251" s="168">
        <f t="shared" si="78"/>
        <v>1314.552688172043</v>
      </c>
    </row>
    <row r="252" spans="1:15" ht="16.5" x14ac:dyDescent="0.25">
      <c r="A252" s="433" t="s">
        <v>173</v>
      </c>
      <c r="B252" s="434"/>
      <c r="C252" s="434"/>
      <c r="D252" s="434"/>
      <c r="E252" s="434"/>
      <c r="F252" s="434"/>
      <c r="G252" s="434"/>
      <c r="H252" s="434"/>
      <c r="I252" s="435"/>
      <c r="J252" s="177">
        <f>6098553/G13*G6*50%</f>
        <v>3643.1021505376343</v>
      </c>
      <c r="K252" s="168"/>
      <c r="L252" s="168"/>
      <c r="M252" s="168"/>
      <c r="N252" s="168"/>
      <c r="O252" s="168">
        <f t="shared" si="78"/>
        <v>3643.1021505376343</v>
      </c>
    </row>
    <row r="253" spans="1:15" ht="16.5" x14ac:dyDescent="0.25">
      <c r="A253" s="433" t="s">
        <v>174</v>
      </c>
      <c r="B253" s="434"/>
      <c r="C253" s="434"/>
      <c r="D253" s="434"/>
      <c r="E253" s="434"/>
      <c r="F253" s="434"/>
      <c r="G253" s="434"/>
      <c r="H253" s="434"/>
      <c r="I253" s="435"/>
      <c r="J253" s="177">
        <f>(358768+450249)/G13*G6</f>
        <v>966.56750298685779</v>
      </c>
      <c r="K253" s="168"/>
      <c r="L253" s="168"/>
      <c r="M253" s="168"/>
      <c r="N253" s="168"/>
      <c r="O253" s="168">
        <f t="shared" si="78"/>
        <v>966.56750298685779</v>
      </c>
    </row>
    <row r="254" spans="1:15" ht="16.5" x14ac:dyDescent="0.25">
      <c r="A254" s="433" t="s">
        <v>266</v>
      </c>
      <c r="B254" s="434"/>
      <c r="C254" s="434"/>
      <c r="D254" s="434"/>
      <c r="E254" s="434"/>
      <c r="F254" s="434"/>
      <c r="G254" s="434"/>
      <c r="H254" s="434"/>
      <c r="I254" s="435"/>
      <c r="J254" s="177"/>
      <c r="K254" s="168"/>
      <c r="L254" s="168"/>
      <c r="M254" s="168"/>
      <c r="N254" s="168"/>
      <c r="O254" s="168">
        <f t="shared" si="78"/>
        <v>0</v>
      </c>
    </row>
    <row r="255" spans="1:15" ht="16.5" x14ac:dyDescent="0.25">
      <c r="A255" s="433" t="s">
        <v>267</v>
      </c>
      <c r="B255" s="434"/>
      <c r="C255" s="434"/>
      <c r="D255" s="434"/>
      <c r="E255" s="434"/>
      <c r="F255" s="434"/>
      <c r="G255" s="434"/>
      <c r="H255" s="434"/>
      <c r="I255" s="435"/>
      <c r="J255" s="177"/>
      <c r="K255" s="168"/>
      <c r="L255" s="168"/>
      <c r="M255" s="168"/>
      <c r="N255" s="168"/>
      <c r="O255" s="168">
        <f t="shared" si="78"/>
        <v>0</v>
      </c>
    </row>
    <row r="256" spans="1:15" ht="16.5" x14ac:dyDescent="0.25">
      <c r="A256" s="464" t="s">
        <v>268</v>
      </c>
      <c r="B256" s="465"/>
      <c r="C256" s="465"/>
      <c r="D256" s="465"/>
      <c r="E256" s="465"/>
      <c r="F256" s="465"/>
      <c r="G256" s="465"/>
      <c r="H256" s="465"/>
      <c r="I256" s="466"/>
      <c r="J256" s="206">
        <f>J257</f>
        <v>1668.4899999999998</v>
      </c>
      <c r="K256" s="175"/>
      <c r="L256" s="175"/>
      <c r="M256" s="175"/>
      <c r="N256" s="175"/>
      <c r="O256" s="175">
        <f t="shared" si="78"/>
        <v>1668.4899999999998</v>
      </c>
    </row>
    <row r="257" spans="1:17" ht="16.5" x14ac:dyDescent="0.25">
      <c r="A257" s="449" t="s">
        <v>271</v>
      </c>
      <c r="B257" s="450"/>
      <c r="C257" s="450"/>
      <c r="D257" s="450"/>
      <c r="E257" s="450"/>
      <c r="F257" s="450"/>
      <c r="G257" s="450"/>
      <c r="H257" s="450"/>
      <c r="I257" s="451"/>
      <c r="J257" s="177">
        <f>1137.62+530.87</f>
        <v>1668.4899999999998</v>
      </c>
      <c r="K257" s="168"/>
      <c r="L257" s="168"/>
      <c r="M257" s="168"/>
      <c r="N257" s="168"/>
      <c r="O257" s="168">
        <f t="shared" si="78"/>
        <v>1668.4899999999998</v>
      </c>
    </row>
    <row r="258" spans="1:17" ht="16.5" x14ac:dyDescent="0.25">
      <c r="A258" s="433" t="s">
        <v>270</v>
      </c>
      <c r="B258" s="434"/>
      <c r="C258" s="434"/>
      <c r="D258" s="434"/>
      <c r="E258" s="434"/>
      <c r="F258" s="434"/>
      <c r="G258" s="434"/>
      <c r="H258" s="434"/>
      <c r="I258" s="435"/>
      <c r="J258" s="206">
        <f>J259</f>
        <v>8757.0276583034647</v>
      </c>
      <c r="K258" s="175"/>
      <c r="L258" s="175"/>
      <c r="M258" s="175"/>
      <c r="N258" s="175"/>
      <c r="O258" s="175">
        <f t="shared" si="78"/>
        <v>8757.0276583034647</v>
      </c>
    </row>
    <row r="259" spans="1:17" ht="16.5" x14ac:dyDescent="0.25">
      <c r="A259" s="449" t="s">
        <v>269</v>
      </c>
      <c r="B259" s="450"/>
      <c r="C259" s="450"/>
      <c r="D259" s="450"/>
      <c r="E259" s="450"/>
      <c r="F259" s="450"/>
      <c r="G259" s="450"/>
      <c r="H259" s="450"/>
      <c r="I259" s="451"/>
      <c r="J259" s="177">
        <f>9780.85+3289.06-J250+1611.34</f>
        <v>8757.0276583034647</v>
      </c>
      <c r="K259" s="168"/>
      <c r="L259" s="168"/>
      <c r="M259" s="168"/>
      <c r="N259" s="168"/>
      <c r="O259" s="168">
        <f t="shared" si="78"/>
        <v>8757.0276583034647</v>
      </c>
    </row>
    <row r="260" spans="1:17" ht="16.5" x14ac:dyDescent="0.25">
      <c r="A260" s="452" t="s">
        <v>183</v>
      </c>
      <c r="B260" s="453"/>
      <c r="C260" s="453"/>
      <c r="D260" s="453"/>
      <c r="E260" s="453"/>
      <c r="F260" s="453"/>
      <c r="G260" s="453"/>
      <c r="H260" s="453"/>
      <c r="I260" s="454"/>
      <c r="J260" s="247">
        <f>J243+J248</f>
        <v>21284.080000000002</v>
      </c>
      <c r="K260" s="247">
        <f t="shared" ref="K260:O260" si="79">K243+K248</f>
        <v>0</v>
      </c>
      <c r="L260" s="247">
        <f t="shared" si="79"/>
        <v>0</v>
      </c>
      <c r="M260" s="247">
        <f t="shared" si="79"/>
        <v>0</v>
      </c>
      <c r="N260" s="247">
        <f t="shared" si="79"/>
        <v>0</v>
      </c>
      <c r="O260" s="247">
        <f t="shared" si="79"/>
        <v>21284.080000000002</v>
      </c>
    </row>
    <row r="261" spans="1:17" ht="16.5" x14ac:dyDescent="0.25">
      <c r="A261" s="452" t="s">
        <v>328</v>
      </c>
      <c r="B261" s="453"/>
      <c r="C261" s="453"/>
      <c r="D261" s="453"/>
      <c r="E261" s="453"/>
      <c r="F261" s="453"/>
      <c r="G261" s="453"/>
      <c r="H261" s="453"/>
      <c r="I261" s="454"/>
      <c r="J261" s="247">
        <f>J45+J70+J95+J118+J141+J164+J188+J212+J235+J260</f>
        <v>23079046.999999996</v>
      </c>
      <c r="K261" s="247">
        <f>K45+K70+K95+K118+K141+K164+K188+K212+K235+K260</f>
        <v>4262220</v>
      </c>
      <c r="L261" s="247">
        <f>L45+L70+L95+L118+L141+L164+L188+L212+L235+L260</f>
        <v>17542166.009999998</v>
      </c>
      <c r="M261" s="247">
        <f>M45+M70+M95+M118+M141+M164+M188+M212+M235+M260</f>
        <v>7505247.209999999</v>
      </c>
      <c r="N261" s="247">
        <f>N45+N70+N95+N118+N141+N164+N188+N211+N235+N260</f>
        <v>7401989.9800000004</v>
      </c>
      <c r="O261" s="247">
        <f>SUM(J261:N261)</f>
        <v>59790670.199999988</v>
      </c>
      <c r="P261" s="31"/>
      <c r="Q261" s="31"/>
    </row>
    <row r="262" spans="1:17" ht="16.5" x14ac:dyDescent="0.25">
      <c r="A262" s="169"/>
      <c r="B262" s="169"/>
      <c r="C262" s="169"/>
      <c r="D262" s="169"/>
      <c r="E262" s="169"/>
      <c r="F262" s="169"/>
      <c r="G262" s="169"/>
      <c r="H262" s="169"/>
      <c r="I262" s="169"/>
      <c r="J262" s="169"/>
      <c r="K262" s="169"/>
      <c r="L262" s="169"/>
      <c r="M262" s="169"/>
      <c r="N262" s="169"/>
      <c r="O262" s="169"/>
    </row>
  </sheetData>
  <mergeCells count="236">
    <mergeCell ref="A261:I261"/>
    <mergeCell ref="A257:I257"/>
    <mergeCell ref="A258:I258"/>
    <mergeCell ref="A259:I259"/>
    <mergeCell ref="A260:I260"/>
    <mergeCell ref="A251:I251"/>
    <mergeCell ref="A252:I252"/>
    <mergeCell ref="A253:I253"/>
    <mergeCell ref="A254:I254"/>
    <mergeCell ref="A255:I255"/>
    <mergeCell ref="A256:I256"/>
    <mergeCell ref="A245:I245"/>
    <mergeCell ref="A246:I246"/>
    <mergeCell ref="A247:I247"/>
    <mergeCell ref="A248:I248"/>
    <mergeCell ref="A249:I249"/>
    <mergeCell ref="A250:I250"/>
    <mergeCell ref="A236:I236"/>
    <mergeCell ref="A241:I241"/>
    <mergeCell ref="A242:O242"/>
    <mergeCell ref="A243:I243"/>
    <mergeCell ref="A244:I244"/>
    <mergeCell ref="A230:I230"/>
    <mergeCell ref="A231:I231"/>
    <mergeCell ref="A232:I232"/>
    <mergeCell ref="A233:I233"/>
    <mergeCell ref="A234:I234"/>
    <mergeCell ref="A235:I235"/>
    <mergeCell ref="A224:I224"/>
    <mergeCell ref="A225:I225"/>
    <mergeCell ref="A226:I226"/>
    <mergeCell ref="A227:I227"/>
    <mergeCell ref="A228:I228"/>
    <mergeCell ref="A229:I229"/>
    <mergeCell ref="A218:I218"/>
    <mergeCell ref="A219:I219"/>
    <mergeCell ref="A220:I220"/>
    <mergeCell ref="A221:I221"/>
    <mergeCell ref="A222:I222"/>
    <mergeCell ref="A223:I223"/>
    <mergeCell ref="A209:I209"/>
    <mergeCell ref="A210:I210"/>
    <mergeCell ref="A211:I211"/>
    <mergeCell ref="A212:I212"/>
    <mergeCell ref="A216:I216"/>
    <mergeCell ref="A217:O217"/>
    <mergeCell ref="A203:I203"/>
    <mergeCell ref="A204:I204"/>
    <mergeCell ref="A205:I205"/>
    <mergeCell ref="A206:I206"/>
    <mergeCell ref="A207:I207"/>
    <mergeCell ref="A208:I208"/>
    <mergeCell ref="A197:I197"/>
    <mergeCell ref="A198:I198"/>
    <mergeCell ref="A199:I199"/>
    <mergeCell ref="A200:I200"/>
    <mergeCell ref="A201:I201"/>
    <mergeCell ref="A202:I202"/>
    <mergeCell ref="A188:I188"/>
    <mergeCell ref="A192:I192"/>
    <mergeCell ref="A193:O193"/>
    <mergeCell ref="A194:I194"/>
    <mergeCell ref="A195:I195"/>
    <mergeCell ref="A196:I196"/>
    <mergeCell ref="A182:I182"/>
    <mergeCell ref="A183:I183"/>
    <mergeCell ref="A184:I184"/>
    <mergeCell ref="A185:I185"/>
    <mergeCell ref="A186:I186"/>
    <mergeCell ref="A187:I187"/>
    <mergeCell ref="A176:I176"/>
    <mergeCell ref="A177:I177"/>
    <mergeCell ref="A178:I178"/>
    <mergeCell ref="A179:I179"/>
    <mergeCell ref="A180:I180"/>
    <mergeCell ref="A181:I181"/>
    <mergeCell ref="A170:O170"/>
    <mergeCell ref="A171:I171"/>
    <mergeCell ref="A172:I172"/>
    <mergeCell ref="A173:I173"/>
    <mergeCell ref="A174:I174"/>
    <mergeCell ref="A175:I175"/>
    <mergeCell ref="A160:I160"/>
    <mergeCell ref="A161:I161"/>
    <mergeCell ref="A162:I162"/>
    <mergeCell ref="A163:I163"/>
    <mergeCell ref="A164:I164"/>
    <mergeCell ref="A169:I169"/>
    <mergeCell ref="A154:I154"/>
    <mergeCell ref="A155:I155"/>
    <mergeCell ref="A156:I156"/>
    <mergeCell ref="A157:I157"/>
    <mergeCell ref="A158:I158"/>
    <mergeCell ref="A159:I159"/>
    <mergeCell ref="A148:I148"/>
    <mergeCell ref="A149:I149"/>
    <mergeCell ref="A150:I150"/>
    <mergeCell ref="A151:I151"/>
    <mergeCell ref="A152:I152"/>
    <mergeCell ref="A153:I153"/>
    <mergeCell ref="A139:I139"/>
    <mergeCell ref="A140:I140"/>
    <mergeCell ref="A141:I141"/>
    <mergeCell ref="A145:I145"/>
    <mergeCell ref="A146:O146"/>
    <mergeCell ref="A147:I147"/>
    <mergeCell ref="A142:I142"/>
    <mergeCell ref="A136:I136"/>
    <mergeCell ref="A137:I137"/>
    <mergeCell ref="A138:I138"/>
    <mergeCell ref="A127:I127"/>
    <mergeCell ref="A128:I128"/>
    <mergeCell ref="A129:I129"/>
    <mergeCell ref="A130:I130"/>
    <mergeCell ref="A131:I131"/>
    <mergeCell ref="A132:I132"/>
    <mergeCell ref="A119:I119"/>
    <mergeCell ref="A122:I122"/>
    <mergeCell ref="A123:O123"/>
    <mergeCell ref="A124:I124"/>
    <mergeCell ref="A125:I125"/>
    <mergeCell ref="A126:I126"/>
    <mergeCell ref="A133:I133"/>
    <mergeCell ref="A134:I134"/>
    <mergeCell ref="A135:I135"/>
    <mergeCell ref="A114:I114"/>
    <mergeCell ref="A115:I115"/>
    <mergeCell ref="A116:I116"/>
    <mergeCell ref="A117:I117"/>
    <mergeCell ref="A118:I118"/>
    <mergeCell ref="A108:I108"/>
    <mergeCell ref="A109:I109"/>
    <mergeCell ref="A110:I110"/>
    <mergeCell ref="A111:I111"/>
    <mergeCell ref="A112:I112"/>
    <mergeCell ref="A113:I113"/>
    <mergeCell ref="A102:I102"/>
    <mergeCell ref="A103:I103"/>
    <mergeCell ref="A104:I104"/>
    <mergeCell ref="A105:I105"/>
    <mergeCell ref="A106:I106"/>
    <mergeCell ref="A107:I107"/>
    <mergeCell ref="A93:I93"/>
    <mergeCell ref="A94:I94"/>
    <mergeCell ref="A95:I95"/>
    <mergeCell ref="A99:I99"/>
    <mergeCell ref="A100:O100"/>
    <mergeCell ref="A101:I101"/>
    <mergeCell ref="A96:I96"/>
    <mergeCell ref="A87:I87"/>
    <mergeCell ref="A88:I88"/>
    <mergeCell ref="A89:I89"/>
    <mergeCell ref="A90:I90"/>
    <mergeCell ref="A91:I91"/>
    <mergeCell ref="A92:I92"/>
    <mergeCell ref="A81:I81"/>
    <mergeCell ref="A82:I82"/>
    <mergeCell ref="A83:I83"/>
    <mergeCell ref="A84:I84"/>
    <mergeCell ref="A85:I85"/>
    <mergeCell ref="A86:I86"/>
    <mergeCell ref="A70:I70"/>
    <mergeCell ref="A76:I76"/>
    <mergeCell ref="A77:O77"/>
    <mergeCell ref="A78:I78"/>
    <mergeCell ref="A79:I79"/>
    <mergeCell ref="A80:I80"/>
    <mergeCell ref="A64:I64"/>
    <mergeCell ref="A65:I65"/>
    <mergeCell ref="A66:I66"/>
    <mergeCell ref="A67:I67"/>
    <mergeCell ref="A68:I68"/>
    <mergeCell ref="A69:I69"/>
    <mergeCell ref="A71:I71"/>
    <mergeCell ref="A58:I58"/>
    <mergeCell ref="A59:I59"/>
    <mergeCell ref="A60:I60"/>
    <mergeCell ref="A61:I61"/>
    <mergeCell ref="A62:I62"/>
    <mergeCell ref="A63:I63"/>
    <mergeCell ref="A52:O52"/>
    <mergeCell ref="A53:I53"/>
    <mergeCell ref="A54:I54"/>
    <mergeCell ref="A55:I55"/>
    <mergeCell ref="A56:I56"/>
    <mergeCell ref="A57:I57"/>
    <mergeCell ref="A41:I41"/>
    <mergeCell ref="A42:I42"/>
    <mergeCell ref="A43:I43"/>
    <mergeCell ref="A44:I44"/>
    <mergeCell ref="A45:I45"/>
    <mergeCell ref="A51:I51"/>
    <mergeCell ref="A35:I35"/>
    <mergeCell ref="A36:I36"/>
    <mergeCell ref="A37:I37"/>
    <mergeCell ref="A38:I38"/>
    <mergeCell ref="A39:I39"/>
    <mergeCell ref="A40:I40"/>
    <mergeCell ref="A46:I46"/>
    <mergeCell ref="A29:I29"/>
    <mergeCell ref="A30:I30"/>
    <mergeCell ref="A31:I31"/>
    <mergeCell ref="A32:I32"/>
    <mergeCell ref="A33:I33"/>
    <mergeCell ref="A34:I34"/>
    <mergeCell ref="B19:D19"/>
    <mergeCell ref="B20:D20"/>
    <mergeCell ref="A21:D21"/>
    <mergeCell ref="A26:I26"/>
    <mergeCell ref="A27:O27"/>
    <mergeCell ref="A28:I28"/>
    <mergeCell ref="A22:I22"/>
    <mergeCell ref="B13:D13"/>
    <mergeCell ref="B14:D14"/>
    <mergeCell ref="B15:D15"/>
    <mergeCell ref="B16:D16"/>
    <mergeCell ref="B17:D17"/>
    <mergeCell ref="B18:D18"/>
    <mergeCell ref="B7:D7"/>
    <mergeCell ref="B8:D8"/>
    <mergeCell ref="B9:D9"/>
    <mergeCell ref="B10:D10"/>
    <mergeCell ref="B11:D11"/>
    <mergeCell ref="B12:D12"/>
    <mergeCell ref="O3:R3"/>
    <mergeCell ref="S3:V3"/>
    <mergeCell ref="W3:Z3"/>
    <mergeCell ref="AA3:AA4"/>
    <mergeCell ref="B5:D5"/>
    <mergeCell ref="B6:D6"/>
    <mergeCell ref="A3:A4"/>
    <mergeCell ref="B3:D4"/>
    <mergeCell ref="E3:E4"/>
    <mergeCell ref="F3:F4"/>
    <mergeCell ref="G3:J3"/>
    <mergeCell ref="K3:N3"/>
  </mergeCells>
  <pageMargins left="0" right="0" top="0.19685039370078741" bottom="0.19685039370078741" header="0.19685039370078741" footer="0.19685039370078741"/>
  <pageSetup paperSize="9" scale="45" fitToHeight="0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2:AB66"/>
  <sheetViews>
    <sheetView topLeftCell="A11" workbookViewId="0">
      <selection activeCell="V53" sqref="V53"/>
    </sheetView>
  </sheetViews>
  <sheetFormatPr defaultRowHeight="15" x14ac:dyDescent="0.25"/>
  <cols>
    <col min="1" max="1" width="9.28515625" bestFit="1" customWidth="1"/>
    <col min="6" max="7" width="9.28515625" bestFit="1" customWidth="1"/>
    <col min="8" max="8" width="10.28515625" bestFit="1" customWidth="1"/>
    <col min="10" max="10" width="17.42578125" customWidth="1"/>
    <col min="11" max="11" width="16" customWidth="1"/>
    <col min="12" max="12" width="16.28515625" customWidth="1"/>
    <col min="13" max="13" width="19.140625" customWidth="1"/>
    <col min="14" max="14" width="16.7109375" customWidth="1"/>
    <col min="15" max="15" width="16.5703125" customWidth="1"/>
    <col min="16" max="17" width="9.28515625" bestFit="1" customWidth="1"/>
    <col min="18" max="18" width="16.7109375" customWidth="1"/>
    <col min="19" max="21" width="9.28515625" bestFit="1" customWidth="1"/>
    <col min="22" max="22" width="15.7109375" customWidth="1"/>
    <col min="23" max="25" width="9.28515625" bestFit="1" customWidth="1"/>
    <col min="26" max="26" width="16" bestFit="1" customWidth="1"/>
    <col min="27" max="27" width="17.5703125" customWidth="1"/>
  </cols>
  <sheetData>
    <row r="2" spans="1:28" ht="16.5" x14ac:dyDescent="0.25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482" t="s">
        <v>310</v>
      </c>
      <c r="M2" s="482"/>
      <c r="N2" s="482"/>
      <c r="O2" s="482"/>
      <c r="P2" s="482"/>
      <c r="Q2" s="482"/>
      <c r="R2" s="212"/>
      <c r="S2" s="212"/>
      <c r="T2" s="1" t="s">
        <v>410</v>
      </c>
      <c r="U2" s="224"/>
      <c r="V2" s="224"/>
      <c r="W2" s="224"/>
      <c r="Y2" s="212"/>
      <c r="Z2" s="212"/>
      <c r="AA2" s="212"/>
      <c r="AB2" s="212"/>
    </row>
    <row r="3" spans="1:28" ht="16.5" x14ac:dyDescent="0.25">
      <c r="A3" s="483" t="s">
        <v>4</v>
      </c>
      <c r="B3" s="485" t="s">
        <v>71</v>
      </c>
      <c r="C3" s="486"/>
      <c r="D3" s="487"/>
      <c r="E3" s="491" t="s">
        <v>2</v>
      </c>
      <c r="F3" s="493" t="s">
        <v>82</v>
      </c>
      <c r="G3" s="479" t="s">
        <v>74</v>
      </c>
      <c r="H3" s="480"/>
      <c r="I3" s="480"/>
      <c r="J3" s="481"/>
      <c r="K3" s="479" t="s">
        <v>75</v>
      </c>
      <c r="L3" s="480"/>
      <c r="M3" s="480"/>
      <c r="N3" s="481"/>
      <c r="O3" s="479" t="s">
        <v>76</v>
      </c>
      <c r="P3" s="480"/>
      <c r="Q3" s="480"/>
      <c r="R3" s="481"/>
      <c r="S3" s="479" t="s">
        <v>77</v>
      </c>
      <c r="T3" s="480"/>
      <c r="U3" s="480"/>
      <c r="V3" s="481"/>
      <c r="W3" s="479" t="s">
        <v>78</v>
      </c>
      <c r="X3" s="480"/>
      <c r="Y3" s="480"/>
      <c r="Z3" s="481"/>
      <c r="AA3" s="474" t="s">
        <v>330</v>
      </c>
      <c r="AB3" s="212"/>
    </row>
    <row r="4" spans="1:28" ht="49.5" x14ac:dyDescent="0.25">
      <c r="A4" s="484"/>
      <c r="B4" s="488"/>
      <c r="C4" s="489"/>
      <c r="D4" s="490"/>
      <c r="E4" s="492"/>
      <c r="F4" s="494"/>
      <c r="G4" s="207" t="s">
        <v>29</v>
      </c>
      <c r="H4" s="207" t="s">
        <v>13</v>
      </c>
      <c r="I4" s="207" t="s">
        <v>14</v>
      </c>
      <c r="J4" s="207" t="s">
        <v>25</v>
      </c>
      <c r="K4" s="207" t="s">
        <v>12</v>
      </c>
      <c r="L4" s="207" t="s">
        <v>13</v>
      </c>
      <c r="M4" s="207" t="s">
        <v>14</v>
      </c>
      <c r="N4" s="207" t="s">
        <v>25</v>
      </c>
      <c r="O4" s="207" t="s">
        <v>12</v>
      </c>
      <c r="P4" s="207" t="s">
        <v>13</v>
      </c>
      <c r="Q4" s="207" t="s">
        <v>3</v>
      </c>
      <c r="R4" s="207" t="s">
        <v>25</v>
      </c>
      <c r="S4" s="207" t="s">
        <v>12</v>
      </c>
      <c r="T4" s="207" t="s">
        <v>13</v>
      </c>
      <c r="U4" s="207" t="s">
        <v>23</v>
      </c>
      <c r="V4" s="215" t="s">
        <v>25</v>
      </c>
      <c r="W4" s="207" t="s">
        <v>12</v>
      </c>
      <c r="X4" s="207" t="s">
        <v>13</v>
      </c>
      <c r="Y4" s="207" t="s">
        <v>23</v>
      </c>
      <c r="Z4" s="207" t="s">
        <v>25</v>
      </c>
      <c r="AA4" s="474"/>
      <c r="AB4" s="229"/>
    </row>
    <row r="5" spans="1:28" ht="16.5" x14ac:dyDescent="0.25">
      <c r="A5" s="209" t="s">
        <v>8</v>
      </c>
      <c r="B5" s="433" t="s">
        <v>72</v>
      </c>
      <c r="C5" s="434"/>
      <c r="D5" s="435"/>
      <c r="E5" s="214" t="s">
        <v>73</v>
      </c>
      <c r="F5" s="172">
        <v>5400</v>
      </c>
      <c r="G5" s="172">
        <v>41</v>
      </c>
      <c r="H5" s="172">
        <f>F5*G7</f>
        <v>1242000</v>
      </c>
      <c r="I5" s="172"/>
      <c r="J5" s="172">
        <f>1237400-J6</f>
        <v>1175400</v>
      </c>
      <c r="K5" s="172">
        <v>15</v>
      </c>
      <c r="L5" s="172">
        <f>F5*K7</f>
        <v>178200</v>
      </c>
      <c r="M5" s="172"/>
      <c r="N5" s="172">
        <f>741200-N6</f>
        <v>697200</v>
      </c>
      <c r="O5" s="172">
        <v>20</v>
      </c>
      <c r="P5" s="172">
        <f>F5*O7</f>
        <v>453600</v>
      </c>
      <c r="Q5" s="172"/>
      <c r="R5" s="216">
        <f>979100-R6</f>
        <v>929600</v>
      </c>
      <c r="S5" s="172">
        <v>28</v>
      </c>
      <c r="T5" s="172">
        <f>F5*S7</f>
        <v>550800</v>
      </c>
      <c r="U5" s="172"/>
      <c r="V5" s="173">
        <f>1276000-V6</f>
        <v>1214000</v>
      </c>
      <c r="W5" s="172">
        <v>18</v>
      </c>
      <c r="X5" s="172">
        <f>F5*W5</f>
        <v>97200</v>
      </c>
      <c r="Y5" s="172">
        <v>60</v>
      </c>
      <c r="Z5" s="173">
        <f>839800-Z6</f>
        <v>787800</v>
      </c>
      <c r="AA5" s="173">
        <f t="shared" ref="AA5:AA18" si="0">J5+N5+R5+V5+Z5</f>
        <v>4804000</v>
      </c>
      <c r="AB5" s="212"/>
    </row>
    <row r="6" spans="1:28" ht="16.5" x14ac:dyDescent="0.25">
      <c r="A6" s="209" t="s">
        <v>17</v>
      </c>
      <c r="B6" s="433" t="s">
        <v>79</v>
      </c>
      <c r="C6" s="434"/>
      <c r="D6" s="435"/>
      <c r="E6" s="172"/>
      <c r="F6" s="172"/>
      <c r="G6" s="172">
        <v>189</v>
      </c>
      <c r="H6" s="172"/>
      <c r="I6" s="172"/>
      <c r="J6" s="172">
        <f>52000+10000</f>
        <v>62000</v>
      </c>
      <c r="K6" s="172">
        <v>18</v>
      </c>
      <c r="L6" s="172"/>
      <c r="M6" s="172"/>
      <c r="N6" s="172">
        <f>6000+38000</f>
        <v>44000</v>
      </c>
      <c r="O6" s="172">
        <v>64</v>
      </c>
      <c r="P6" s="172"/>
      <c r="Q6" s="172"/>
      <c r="R6" s="216">
        <f>7500+42000</f>
        <v>49500</v>
      </c>
      <c r="S6" s="172">
        <v>74</v>
      </c>
      <c r="T6" s="172"/>
      <c r="U6" s="172"/>
      <c r="V6" s="173">
        <f>10000+52000</f>
        <v>62000</v>
      </c>
      <c r="W6" s="172">
        <v>63</v>
      </c>
      <c r="X6" s="172"/>
      <c r="Y6" s="172"/>
      <c r="Z6" s="173">
        <f>8000+44000</f>
        <v>52000</v>
      </c>
      <c r="AA6" s="173">
        <f t="shared" si="0"/>
        <v>269500</v>
      </c>
      <c r="AB6" s="212"/>
    </row>
    <row r="7" spans="1:28" ht="16.5" x14ac:dyDescent="0.25">
      <c r="A7" s="209" t="s">
        <v>20</v>
      </c>
      <c r="B7" s="433" t="s">
        <v>80</v>
      </c>
      <c r="C7" s="434"/>
      <c r="D7" s="435"/>
      <c r="E7" s="214" t="s">
        <v>73</v>
      </c>
      <c r="F7" s="172">
        <v>8300</v>
      </c>
      <c r="G7" s="172">
        <f>SUM(G5:G6)</f>
        <v>230</v>
      </c>
      <c r="H7" s="172">
        <f>F7*G7</f>
        <v>1909000</v>
      </c>
      <c r="I7" s="475"/>
      <c r="J7" s="475">
        <f>1135746+574348.8</f>
        <v>1710094.8</v>
      </c>
      <c r="K7" s="172">
        <f>K5+K6</f>
        <v>33</v>
      </c>
      <c r="L7" s="172">
        <f>F7*K7</f>
        <v>273900</v>
      </c>
      <c r="M7" s="475"/>
      <c r="N7" s="475">
        <f>756158+1184799.6</f>
        <v>1940957.6</v>
      </c>
      <c r="O7" s="172">
        <f>SUM(O5:O6)</f>
        <v>84</v>
      </c>
      <c r="P7" s="172">
        <f>F7*O7</f>
        <v>697200</v>
      </c>
      <c r="Q7" s="475"/>
      <c r="R7" s="477">
        <f>552856+945686.4</f>
        <v>1498542.4</v>
      </c>
      <c r="S7" s="172">
        <f>S5+S6</f>
        <v>102</v>
      </c>
      <c r="T7" s="172">
        <f>F7*S7</f>
        <v>846600</v>
      </c>
      <c r="U7" s="475"/>
      <c r="V7" s="477">
        <f>935546+1693000</f>
        <v>2628546</v>
      </c>
      <c r="W7" s="212">
        <f>SUM(W5:W6)</f>
        <v>81</v>
      </c>
      <c r="X7" s="172">
        <f>F7*W6</f>
        <v>522900</v>
      </c>
      <c r="Y7" s="475">
        <v>40</v>
      </c>
      <c r="Z7" s="477">
        <f>728046+1727921.6</f>
        <v>2455967.6</v>
      </c>
      <c r="AA7" s="173">
        <f t="shared" si="0"/>
        <v>10234108.4</v>
      </c>
      <c r="AB7" s="212"/>
    </row>
    <row r="8" spans="1:28" ht="16.5" x14ac:dyDescent="0.25">
      <c r="A8" s="209" t="s">
        <v>27</v>
      </c>
      <c r="B8" s="433" t="s">
        <v>81</v>
      </c>
      <c r="C8" s="434"/>
      <c r="D8" s="435"/>
      <c r="E8" s="214" t="s">
        <v>73</v>
      </c>
      <c r="F8" s="172"/>
      <c r="G8" s="172"/>
      <c r="H8" s="172"/>
      <c r="I8" s="476"/>
      <c r="J8" s="476"/>
      <c r="K8" s="172"/>
      <c r="L8" s="172"/>
      <c r="M8" s="476"/>
      <c r="N8" s="476"/>
      <c r="O8" s="172"/>
      <c r="P8" s="172">
        <f>F7*O7</f>
        <v>697200</v>
      </c>
      <c r="Q8" s="476"/>
      <c r="R8" s="478"/>
      <c r="S8" s="172"/>
      <c r="T8" s="172"/>
      <c r="U8" s="476"/>
      <c r="V8" s="478"/>
      <c r="W8" s="172"/>
      <c r="X8" s="172"/>
      <c r="Y8" s="476"/>
      <c r="Z8" s="478"/>
      <c r="AA8" s="173">
        <f t="shared" si="0"/>
        <v>0</v>
      </c>
      <c r="AB8" s="212"/>
    </row>
    <row r="9" spans="1:28" ht="16.5" x14ac:dyDescent="0.25">
      <c r="A9" s="209" t="s">
        <v>83</v>
      </c>
      <c r="B9" s="433" t="s">
        <v>84</v>
      </c>
      <c r="C9" s="434"/>
      <c r="D9" s="435"/>
      <c r="E9" s="217" t="s">
        <v>73</v>
      </c>
      <c r="F9" s="172">
        <v>4500</v>
      </c>
      <c r="G9" s="172"/>
      <c r="H9" s="172">
        <f>F9*G7</f>
        <v>1035000</v>
      </c>
      <c r="I9" s="172"/>
      <c r="J9" s="172">
        <v>1028280</v>
      </c>
      <c r="K9" s="172"/>
      <c r="L9" s="172">
        <f>F9*K7</f>
        <v>148500</v>
      </c>
      <c r="M9" s="172"/>
      <c r="N9" s="172">
        <v>457177</v>
      </c>
      <c r="O9" s="172"/>
      <c r="P9" s="212">
        <f>F9*O7</f>
        <v>378000</v>
      </c>
      <c r="Q9" s="172"/>
      <c r="R9" s="173">
        <v>534178</v>
      </c>
      <c r="S9" s="172"/>
      <c r="T9" s="172">
        <f>F9*S7</f>
        <v>459000</v>
      </c>
      <c r="U9" s="172"/>
      <c r="V9" s="173">
        <v>955703</v>
      </c>
      <c r="W9" s="172"/>
      <c r="X9" s="172">
        <f>F9*W7</f>
        <v>364500</v>
      </c>
      <c r="Y9" s="172"/>
      <c r="Z9" s="173">
        <v>530647</v>
      </c>
      <c r="AA9" s="173">
        <f t="shared" si="0"/>
        <v>3505985</v>
      </c>
      <c r="AB9" s="212"/>
    </row>
    <row r="10" spans="1:28" ht="16.5" x14ac:dyDescent="0.25">
      <c r="A10" s="209" t="s">
        <v>85</v>
      </c>
      <c r="B10" s="433" t="s">
        <v>86</v>
      </c>
      <c r="C10" s="434"/>
      <c r="D10" s="435"/>
      <c r="E10" s="217" t="s">
        <v>73</v>
      </c>
      <c r="F10" s="172">
        <v>5720</v>
      </c>
      <c r="G10" s="172"/>
      <c r="H10" s="172">
        <f>F10*G7</f>
        <v>1315600</v>
      </c>
      <c r="I10" s="172"/>
      <c r="J10" s="172"/>
      <c r="K10" s="172"/>
      <c r="L10" s="172">
        <f>F10*K7</f>
        <v>188760</v>
      </c>
      <c r="M10" s="172"/>
      <c r="N10" s="172"/>
      <c r="O10" s="172"/>
      <c r="P10" s="212">
        <f>F10*O7</f>
        <v>480480</v>
      </c>
      <c r="Q10" s="172"/>
      <c r="R10" s="173"/>
      <c r="S10" s="172"/>
      <c r="T10" s="172">
        <f>F10*S7</f>
        <v>583440</v>
      </c>
      <c r="U10" s="172"/>
      <c r="V10" s="173"/>
      <c r="W10" s="172"/>
      <c r="X10" s="172">
        <f>F10*W7</f>
        <v>463320</v>
      </c>
      <c r="Y10" s="172"/>
      <c r="Z10" s="173"/>
      <c r="AA10" s="173">
        <f t="shared" si="0"/>
        <v>0</v>
      </c>
      <c r="AB10" s="212"/>
    </row>
    <row r="11" spans="1:28" ht="16.5" x14ac:dyDescent="0.25">
      <c r="A11" s="209" t="s">
        <v>87</v>
      </c>
      <c r="B11" s="433" t="s">
        <v>88</v>
      </c>
      <c r="C11" s="434"/>
      <c r="D11" s="435"/>
      <c r="E11" s="217" t="s">
        <v>73</v>
      </c>
      <c r="F11" s="172">
        <v>4360</v>
      </c>
      <c r="G11" s="172"/>
      <c r="H11" s="172">
        <f>F11*G7</f>
        <v>1002800</v>
      </c>
      <c r="I11" s="172"/>
      <c r="J11" s="172">
        <v>320547</v>
      </c>
      <c r="K11" s="172"/>
      <c r="L11" s="172">
        <f>F11*K7</f>
        <v>143880</v>
      </c>
      <c r="M11" s="172"/>
      <c r="N11" s="172">
        <v>140000</v>
      </c>
      <c r="O11" s="172"/>
      <c r="P11" s="212">
        <f>F11*O7</f>
        <v>366240</v>
      </c>
      <c r="Q11" s="172"/>
      <c r="R11" s="173">
        <v>222532</v>
      </c>
      <c r="S11" s="172"/>
      <c r="T11" s="172">
        <f>F11*S7</f>
        <v>444720</v>
      </c>
      <c r="U11" s="172"/>
      <c r="V11" s="173">
        <v>396204</v>
      </c>
      <c r="W11" s="172"/>
      <c r="X11" s="172">
        <f>F11*W7</f>
        <v>353160</v>
      </c>
      <c r="Y11" s="172"/>
      <c r="Z11" s="173">
        <v>328058</v>
      </c>
      <c r="AA11" s="173">
        <f t="shared" si="0"/>
        <v>1407341</v>
      </c>
      <c r="AB11" s="212"/>
    </row>
    <row r="12" spans="1:28" ht="16.5" x14ac:dyDescent="0.25">
      <c r="A12" s="218" t="s">
        <v>89</v>
      </c>
      <c r="B12" s="436" t="s">
        <v>90</v>
      </c>
      <c r="C12" s="437"/>
      <c r="D12" s="438"/>
      <c r="E12" s="219" t="s">
        <v>73</v>
      </c>
      <c r="F12" s="171"/>
      <c r="G12" s="171"/>
      <c r="H12" s="171"/>
      <c r="I12" s="171"/>
      <c r="J12" s="171">
        <v>4151405</v>
      </c>
      <c r="K12" s="171"/>
      <c r="L12" s="171"/>
      <c r="M12" s="171"/>
      <c r="N12" s="171">
        <v>50394</v>
      </c>
      <c r="O12" s="171"/>
      <c r="P12" s="212"/>
      <c r="Q12" s="171"/>
      <c r="R12" s="220">
        <v>2059</v>
      </c>
      <c r="S12" s="171"/>
      <c r="T12" s="171"/>
      <c r="U12" s="171"/>
      <c r="V12" s="220">
        <v>5477599</v>
      </c>
      <c r="W12" s="171"/>
      <c r="X12" s="171"/>
      <c r="Y12" s="171"/>
      <c r="Z12" s="220">
        <v>51704</v>
      </c>
      <c r="AA12" s="173">
        <f t="shared" si="0"/>
        <v>9733161</v>
      </c>
      <c r="AB12" s="212"/>
    </row>
    <row r="13" spans="1:28" ht="16.5" x14ac:dyDescent="0.25">
      <c r="A13" s="209" t="s">
        <v>91</v>
      </c>
      <c r="B13" s="433" t="s">
        <v>92</v>
      </c>
      <c r="C13" s="434"/>
      <c r="D13" s="435"/>
      <c r="E13" s="217" t="s">
        <v>73</v>
      </c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212"/>
      <c r="Q13" s="172"/>
      <c r="R13" s="173"/>
      <c r="S13" s="172"/>
      <c r="T13" s="172"/>
      <c r="U13" s="172"/>
      <c r="V13" s="173"/>
      <c r="W13" s="172"/>
      <c r="X13" s="172"/>
      <c r="Y13" s="172"/>
      <c r="Z13" s="173"/>
      <c r="AA13" s="173">
        <f t="shared" si="0"/>
        <v>0</v>
      </c>
      <c r="AB13" s="212"/>
    </row>
    <row r="14" spans="1:28" ht="16.5" x14ac:dyDescent="0.25">
      <c r="A14" s="209" t="s">
        <v>93</v>
      </c>
      <c r="B14" s="433" t="s">
        <v>94</v>
      </c>
      <c r="C14" s="434"/>
      <c r="D14" s="435"/>
      <c r="E14" s="217" t="s">
        <v>73</v>
      </c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212"/>
      <c r="Q14" s="172"/>
      <c r="R14" s="173"/>
      <c r="S14" s="172"/>
      <c r="T14" s="172"/>
      <c r="U14" s="172"/>
      <c r="V14" s="173"/>
      <c r="W14" s="172"/>
      <c r="X14" s="172"/>
      <c r="Y14" s="172"/>
      <c r="Z14" s="173"/>
      <c r="AA14" s="173">
        <f t="shared" si="0"/>
        <v>0</v>
      </c>
      <c r="AB14" s="212"/>
    </row>
    <row r="15" spans="1:28" ht="16.5" x14ac:dyDescent="0.25">
      <c r="A15" s="209">
        <v>11</v>
      </c>
      <c r="B15" s="442" t="s">
        <v>95</v>
      </c>
      <c r="C15" s="442"/>
      <c r="D15" s="442"/>
      <c r="E15" s="217" t="s">
        <v>73</v>
      </c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212"/>
      <c r="Q15" s="172"/>
      <c r="R15" s="173"/>
      <c r="S15" s="172"/>
      <c r="T15" s="172"/>
      <c r="U15" s="172"/>
      <c r="V15" s="173"/>
      <c r="W15" s="172"/>
      <c r="X15" s="172"/>
      <c r="Y15" s="172"/>
      <c r="Z15" s="173"/>
      <c r="AA15" s="173">
        <f t="shared" si="0"/>
        <v>0</v>
      </c>
      <c r="AB15" s="212"/>
    </row>
    <row r="16" spans="1:28" ht="16.5" x14ac:dyDescent="0.25">
      <c r="A16" s="209" t="s">
        <v>100</v>
      </c>
      <c r="B16" s="433" t="s">
        <v>104</v>
      </c>
      <c r="C16" s="434"/>
      <c r="D16" s="435"/>
      <c r="E16" s="217" t="s">
        <v>73</v>
      </c>
      <c r="F16" s="172"/>
      <c r="G16" s="172"/>
      <c r="H16" s="172"/>
      <c r="I16" s="172"/>
      <c r="J16" s="172">
        <f>8459748+2554844</f>
        <v>11014592</v>
      </c>
      <c r="K16" s="172"/>
      <c r="L16" s="172"/>
      <c r="M16" s="172"/>
      <c r="N16" s="172">
        <f>3566257+1077010</f>
        <v>4643267</v>
      </c>
      <c r="O16" s="172"/>
      <c r="P16" s="172"/>
      <c r="Q16" s="172"/>
      <c r="R16" s="173">
        <f>4741133+1431822</f>
        <v>6172955</v>
      </c>
      <c r="S16" s="172"/>
      <c r="T16" s="172"/>
      <c r="U16" s="172"/>
      <c r="V16" s="173">
        <f>6785057+2049087</f>
        <v>8834144</v>
      </c>
      <c r="W16" s="172"/>
      <c r="X16" s="172"/>
      <c r="Y16" s="172"/>
      <c r="Z16" s="173">
        <f>4250638+1283693</f>
        <v>5534331</v>
      </c>
      <c r="AA16" s="173">
        <f t="shared" si="0"/>
        <v>36199289</v>
      </c>
      <c r="AB16" s="212"/>
    </row>
    <row r="17" spans="1:28" ht="16.5" x14ac:dyDescent="0.25">
      <c r="A17" s="209" t="s">
        <v>101</v>
      </c>
      <c r="B17" s="433" t="s">
        <v>102</v>
      </c>
      <c r="C17" s="434"/>
      <c r="D17" s="435"/>
      <c r="E17" s="217" t="s">
        <v>73</v>
      </c>
      <c r="F17" s="172"/>
      <c r="G17" s="172"/>
      <c r="H17" s="172"/>
      <c r="I17" s="172"/>
      <c r="J17" s="172">
        <f>1187493+3775136</f>
        <v>4962629</v>
      </c>
      <c r="K17" s="172"/>
      <c r="L17" s="172"/>
      <c r="M17" s="172"/>
      <c r="N17" s="172">
        <f>195399+2085174</f>
        <v>2280573</v>
      </c>
      <c r="O17" s="172"/>
      <c r="P17" s="172"/>
      <c r="Q17" s="172"/>
      <c r="R17" s="212">
        <f>39116+1140962</f>
        <v>1180078</v>
      </c>
      <c r="S17" s="172"/>
      <c r="T17" s="172"/>
      <c r="U17" s="172"/>
      <c r="V17" s="173">
        <f>1169466+3317744</f>
        <v>4487210</v>
      </c>
      <c r="W17" s="172"/>
      <c r="X17" s="172"/>
      <c r="Y17" s="172"/>
      <c r="Z17" s="173">
        <f>345397+1374285</f>
        <v>1719682</v>
      </c>
      <c r="AA17" s="173">
        <f t="shared" si="0"/>
        <v>14630172</v>
      </c>
      <c r="AB17" s="212"/>
    </row>
    <row r="18" spans="1:28" ht="16.5" x14ac:dyDescent="0.25">
      <c r="A18" s="444" t="s">
        <v>329</v>
      </c>
      <c r="B18" s="444"/>
      <c r="C18" s="444"/>
      <c r="D18" s="444"/>
      <c r="E18" s="228"/>
      <c r="F18" s="204"/>
      <c r="G18" s="204"/>
      <c r="H18" s="247"/>
      <c r="I18" s="247"/>
      <c r="J18" s="247">
        <f>SUM(J5:J17)</f>
        <v>24424947.800000001</v>
      </c>
      <c r="K18" s="247"/>
      <c r="L18" s="247"/>
      <c r="M18" s="247"/>
      <c r="N18" s="247">
        <f>SUM(N5:N17)</f>
        <v>10253568.6</v>
      </c>
      <c r="O18" s="247"/>
      <c r="P18" s="247"/>
      <c r="Q18" s="247"/>
      <c r="R18" s="247">
        <f>SUM(R5:R17)</f>
        <v>10589444.4</v>
      </c>
      <c r="S18" s="247"/>
      <c r="T18" s="247"/>
      <c r="U18" s="247"/>
      <c r="V18" s="247">
        <f>SUM(V5:V17)</f>
        <v>24055406</v>
      </c>
      <c r="W18" s="247"/>
      <c r="X18" s="247"/>
      <c r="Y18" s="247"/>
      <c r="Z18" s="247">
        <f>SUM(Z5:Z17)</f>
        <v>11460189.6</v>
      </c>
      <c r="AA18" s="247">
        <f t="shared" si="0"/>
        <v>80783556.399999991</v>
      </c>
      <c r="AB18" s="212"/>
    </row>
    <row r="19" spans="1:28" ht="16.5" x14ac:dyDescent="0.25">
      <c r="A19" s="209"/>
      <c r="B19" s="203" t="s">
        <v>114</v>
      </c>
      <c r="C19" s="203"/>
      <c r="D19" s="203"/>
      <c r="E19" s="217"/>
      <c r="F19" s="172"/>
      <c r="G19" s="172"/>
      <c r="H19" s="172"/>
      <c r="I19" s="172"/>
      <c r="J19" s="173">
        <f>J18/(G5+G6)</f>
        <v>106195.42521739131</v>
      </c>
      <c r="K19" s="172"/>
      <c r="L19" s="172"/>
      <c r="M19" s="172"/>
      <c r="N19" s="173">
        <f>N18/K7</f>
        <v>310714.2</v>
      </c>
      <c r="O19" s="172"/>
      <c r="P19" s="172"/>
      <c r="Q19" s="172"/>
      <c r="R19" s="173">
        <f>R18/O7</f>
        <v>126064.8142857143</v>
      </c>
      <c r="S19" s="172"/>
      <c r="T19" s="172"/>
      <c r="U19" s="172"/>
      <c r="V19" s="172">
        <f>V18/S7</f>
        <v>235837.31372549021</v>
      </c>
      <c r="W19" s="172"/>
      <c r="X19" s="172"/>
      <c r="Y19" s="172"/>
      <c r="Z19" s="172">
        <f>Z18/W7</f>
        <v>141483.82222222222</v>
      </c>
      <c r="AA19" s="172"/>
      <c r="AB19" s="212"/>
    </row>
    <row r="20" spans="1:28" ht="16.5" x14ac:dyDescent="0.25">
      <c r="A20" s="221"/>
      <c r="B20" s="222"/>
      <c r="C20" s="222"/>
      <c r="D20" s="222"/>
      <c r="E20" s="223"/>
      <c r="F20" s="212"/>
      <c r="G20" s="212"/>
      <c r="H20" s="212"/>
      <c r="I20" s="212"/>
      <c r="J20" s="213"/>
      <c r="K20" s="212"/>
      <c r="L20" s="212"/>
      <c r="M20" s="212"/>
      <c r="N20" s="213"/>
      <c r="O20" s="212"/>
      <c r="P20" s="212"/>
      <c r="Q20" s="212"/>
      <c r="R20" s="213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</row>
    <row r="21" spans="1:28" ht="16.5" x14ac:dyDescent="0.25">
      <c r="A21" s="212"/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 t="s">
        <v>336</v>
      </c>
      <c r="N21" s="212"/>
      <c r="O21" s="212"/>
      <c r="P21" s="213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</row>
    <row r="22" spans="1:28" ht="16.5" x14ac:dyDescent="0.25">
      <c r="A22" s="221"/>
      <c r="B22" s="222"/>
      <c r="C22" s="222"/>
      <c r="D22" s="222"/>
      <c r="E22" s="223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3"/>
      <c r="Q22" s="224"/>
      <c r="R22" s="224"/>
      <c r="S22" s="224"/>
      <c r="T22" s="224"/>
      <c r="U22" s="212"/>
      <c r="V22" s="212"/>
      <c r="W22" s="212"/>
      <c r="X22" s="212"/>
      <c r="Y22" s="212"/>
      <c r="Z22" s="212"/>
      <c r="AA22" s="212"/>
      <c r="AB22" s="212"/>
    </row>
    <row r="23" spans="1:28" ht="16.5" x14ac:dyDescent="0.25">
      <c r="A23" s="458" t="s">
        <v>311</v>
      </c>
      <c r="B23" s="459"/>
      <c r="C23" s="459"/>
      <c r="D23" s="459"/>
      <c r="E23" s="459"/>
      <c r="F23" s="459"/>
      <c r="G23" s="459"/>
      <c r="H23" s="459"/>
      <c r="I23" s="460"/>
      <c r="J23" s="201" t="s">
        <v>192</v>
      </c>
      <c r="K23" s="201" t="s">
        <v>193</v>
      </c>
      <c r="L23" s="201" t="s">
        <v>194</v>
      </c>
      <c r="M23" s="201" t="s">
        <v>195</v>
      </c>
      <c r="N23" s="201" t="s">
        <v>196</v>
      </c>
      <c r="O23" s="201" t="s">
        <v>183</v>
      </c>
      <c r="P23" s="213"/>
      <c r="Q23" s="224"/>
      <c r="R23" s="224"/>
      <c r="S23" s="224"/>
      <c r="T23" s="224"/>
      <c r="U23" s="212"/>
      <c r="V23" s="212"/>
      <c r="W23" s="212"/>
      <c r="X23" s="212"/>
      <c r="Y23" s="212"/>
      <c r="Z23" s="212"/>
      <c r="AA23" s="212"/>
      <c r="AB23" s="212"/>
    </row>
    <row r="24" spans="1:28" ht="16.5" x14ac:dyDescent="0.25">
      <c r="A24" s="469" t="s">
        <v>257</v>
      </c>
      <c r="B24" s="470"/>
      <c r="C24" s="470"/>
      <c r="D24" s="470"/>
      <c r="E24" s="470"/>
      <c r="F24" s="470"/>
      <c r="G24" s="470"/>
      <c r="H24" s="470"/>
      <c r="I24" s="470"/>
      <c r="J24" s="470"/>
      <c r="K24" s="470"/>
      <c r="L24" s="470"/>
      <c r="M24" s="470"/>
      <c r="N24" s="470"/>
      <c r="O24" s="471"/>
      <c r="P24" s="213"/>
      <c r="Q24" s="224"/>
      <c r="R24" s="224"/>
      <c r="S24" s="224"/>
      <c r="T24" s="224"/>
      <c r="U24" s="212"/>
      <c r="V24" s="212"/>
      <c r="W24" s="212"/>
      <c r="X24" s="213"/>
      <c r="Y24" s="212"/>
      <c r="Z24" s="212"/>
      <c r="AA24" s="212"/>
      <c r="AB24" s="212"/>
    </row>
    <row r="25" spans="1:28" ht="16.5" x14ac:dyDescent="0.25">
      <c r="A25" s="458" t="s">
        <v>258</v>
      </c>
      <c r="B25" s="459"/>
      <c r="C25" s="459"/>
      <c r="D25" s="459"/>
      <c r="E25" s="459"/>
      <c r="F25" s="459"/>
      <c r="G25" s="459"/>
      <c r="H25" s="459"/>
      <c r="I25" s="460"/>
      <c r="J25" s="205">
        <f>J26+J27+J29</f>
        <v>277720.99</v>
      </c>
      <c r="K25" s="205">
        <f>K26+K27+K29</f>
        <v>400545.45</v>
      </c>
      <c r="L25" s="205">
        <f>L26+L28+L29</f>
        <v>286102.84999999998</v>
      </c>
      <c r="M25" s="205">
        <f t="shared" ref="M25:N25" si="1">M26+M27+M29</f>
        <v>459036.39</v>
      </c>
      <c r="N25" s="205">
        <f t="shared" si="1"/>
        <v>259524</v>
      </c>
      <c r="O25" s="205">
        <f>SUM(J25:N25)</f>
        <v>1682929.68</v>
      </c>
      <c r="P25" s="224"/>
      <c r="Q25" s="224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</row>
    <row r="26" spans="1:28" ht="16.5" x14ac:dyDescent="0.25">
      <c r="A26" s="461" t="s">
        <v>259</v>
      </c>
      <c r="B26" s="472"/>
      <c r="C26" s="472"/>
      <c r="D26" s="472"/>
      <c r="E26" s="472"/>
      <c r="F26" s="472"/>
      <c r="G26" s="472"/>
      <c r="H26" s="472"/>
      <c r="I26" s="473"/>
      <c r="J26" s="173"/>
      <c r="K26" s="173"/>
      <c r="L26" s="173"/>
      <c r="M26" s="173"/>
      <c r="N26" s="173"/>
      <c r="O26" s="173">
        <f t="shared" ref="O26:O42" si="2">SUM(J26:N26)</f>
        <v>0</v>
      </c>
      <c r="P26" s="224"/>
      <c r="Q26" s="224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</row>
    <row r="27" spans="1:28" ht="16.5" x14ac:dyDescent="0.25">
      <c r="A27" s="433" t="s">
        <v>260</v>
      </c>
      <c r="B27" s="434"/>
      <c r="C27" s="434"/>
      <c r="D27" s="434"/>
      <c r="E27" s="434"/>
      <c r="F27" s="434"/>
      <c r="G27" s="434"/>
      <c r="H27" s="434"/>
      <c r="I27" s="435"/>
      <c r="J27" s="173">
        <f>J28</f>
        <v>57140.99</v>
      </c>
      <c r="K27" s="173">
        <f>K28</f>
        <v>63636.36</v>
      </c>
      <c r="L27" s="173">
        <f>L28</f>
        <v>52983.8</v>
      </c>
      <c r="M27" s="173">
        <f t="shared" ref="M27:N27" si="3">M28</f>
        <v>108761.88</v>
      </c>
      <c r="N27" s="173">
        <f t="shared" si="3"/>
        <v>72901.78</v>
      </c>
      <c r="O27" s="173">
        <f t="shared" si="2"/>
        <v>355424.81000000006</v>
      </c>
      <c r="P27" s="225"/>
      <c r="Q27" s="224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</row>
    <row r="28" spans="1:28" ht="16.5" x14ac:dyDescent="0.25">
      <c r="A28" s="449" t="s">
        <v>261</v>
      </c>
      <c r="B28" s="450"/>
      <c r="C28" s="450"/>
      <c r="D28" s="450"/>
      <c r="E28" s="450"/>
      <c r="F28" s="450"/>
      <c r="G28" s="450"/>
      <c r="H28" s="450"/>
      <c r="I28" s="451"/>
      <c r="J28" s="173">
        <v>57140.99</v>
      </c>
      <c r="K28" s="173">
        <v>63636.36</v>
      </c>
      <c r="L28" s="173">
        <f>52983.8</f>
        <v>52983.8</v>
      </c>
      <c r="M28" s="173">
        <v>108761.88</v>
      </c>
      <c r="N28" s="173">
        <v>72901.78</v>
      </c>
      <c r="O28" s="173">
        <f t="shared" si="2"/>
        <v>355424.81000000006</v>
      </c>
      <c r="P28" s="225"/>
      <c r="Q28" s="226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</row>
    <row r="29" spans="1:28" ht="16.5" x14ac:dyDescent="0.25">
      <c r="A29" s="433" t="s">
        <v>262</v>
      </c>
      <c r="B29" s="434"/>
      <c r="C29" s="434"/>
      <c r="D29" s="434"/>
      <c r="E29" s="434"/>
      <c r="F29" s="434"/>
      <c r="G29" s="434"/>
      <c r="H29" s="434"/>
      <c r="I29" s="435"/>
      <c r="J29" s="173">
        <v>220580</v>
      </c>
      <c r="K29" s="173">
        <v>336909.09</v>
      </c>
      <c r="L29" s="173">
        <v>233119.05</v>
      </c>
      <c r="M29" s="173">
        <f>350274.51</f>
        <v>350274.51</v>
      </c>
      <c r="N29" s="173">
        <v>186622.22</v>
      </c>
      <c r="O29" s="173">
        <f t="shared" si="2"/>
        <v>1327504.8700000001</v>
      </c>
      <c r="P29" s="225"/>
      <c r="Q29" s="226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</row>
    <row r="30" spans="1:28" ht="16.5" x14ac:dyDescent="0.25">
      <c r="A30" s="452" t="s">
        <v>263</v>
      </c>
      <c r="B30" s="453"/>
      <c r="C30" s="453"/>
      <c r="D30" s="453"/>
      <c r="E30" s="453"/>
      <c r="F30" s="453"/>
      <c r="G30" s="453"/>
      <c r="H30" s="453"/>
      <c r="I30" s="454"/>
      <c r="J30" s="205">
        <f>J31+J32+J38+J40</f>
        <v>4076291.4400000004</v>
      </c>
      <c r="K30" s="205">
        <f t="shared" ref="K30:N30" si="4">K31+K32+K38+K40</f>
        <v>4260167.5500000007</v>
      </c>
      <c r="L30" s="205">
        <f t="shared" si="4"/>
        <v>2235193.4404761903</v>
      </c>
      <c r="M30" s="205">
        <f>M31+M32+M38+M40</f>
        <v>6144408.3900000006</v>
      </c>
      <c r="N30" s="205">
        <f t="shared" si="4"/>
        <v>2287184.8000000003</v>
      </c>
      <c r="O30" s="205">
        <f t="shared" si="2"/>
        <v>19003245.620476194</v>
      </c>
      <c r="P30" s="176"/>
      <c r="Q30" s="212"/>
      <c r="R30" s="213"/>
      <c r="S30" s="213"/>
      <c r="T30" s="212"/>
      <c r="U30" s="212"/>
      <c r="V30" s="212"/>
      <c r="W30" s="212"/>
      <c r="X30" s="212"/>
      <c r="Y30" s="212"/>
      <c r="Z30" s="212"/>
      <c r="AA30" s="212"/>
      <c r="AB30" s="212"/>
    </row>
    <row r="31" spans="1:28" ht="16.5" x14ac:dyDescent="0.25">
      <c r="A31" s="449" t="s">
        <v>264</v>
      </c>
      <c r="B31" s="450"/>
      <c r="C31" s="450"/>
      <c r="D31" s="450"/>
      <c r="E31" s="450"/>
      <c r="F31" s="450"/>
      <c r="G31" s="450"/>
      <c r="H31" s="450"/>
      <c r="I31" s="451"/>
      <c r="J31" s="173">
        <v>1963470.75</v>
      </c>
      <c r="K31" s="173">
        <f>2110575.91</f>
        <v>2110575.91</v>
      </c>
      <c r="L31" s="173">
        <f>R16/O7*O5</f>
        <v>1469751.1904761905</v>
      </c>
      <c r="M31" s="173">
        <v>2425059.14</v>
      </c>
      <c r="N31" s="173">
        <v>1229851.33</v>
      </c>
      <c r="O31" s="173">
        <f t="shared" si="2"/>
        <v>9198708.3204761911</v>
      </c>
      <c r="P31" s="176"/>
      <c r="Q31" s="212"/>
      <c r="R31" s="213"/>
      <c r="S31" s="213"/>
      <c r="T31" s="212"/>
      <c r="U31" s="212"/>
      <c r="V31" s="212"/>
      <c r="W31" s="212"/>
      <c r="X31" s="212"/>
      <c r="Y31" s="212"/>
      <c r="Z31" s="212"/>
      <c r="AA31" s="212"/>
      <c r="AB31" s="212"/>
    </row>
    <row r="32" spans="1:28" ht="16.5" x14ac:dyDescent="0.25">
      <c r="A32" s="433" t="s">
        <v>265</v>
      </c>
      <c r="B32" s="434"/>
      <c r="C32" s="434"/>
      <c r="D32" s="434"/>
      <c r="E32" s="434"/>
      <c r="F32" s="434"/>
      <c r="G32" s="434"/>
      <c r="H32" s="434"/>
      <c r="I32" s="435"/>
      <c r="J32" s="173">
        <f>SUM(J33:J35)</f>
        <v>597197.16080745333</v>
      </c>
      <c r="K32" s="173">
        <f t="shared" ref="K32:N32" si="5">SUM(K33:K35)</f>
        <v>606671.27272727271</v>
      </c>
      <c r="L32" s="173">
        <f t="shared" si="5"/>
        <v>192633.38095238095</v>
      </c>
      <c r="M32" s="173">
        <f t="shared" si="5"/>
        <v>872898.40784313716</v>
      </c>
      <c r="N32" s="173">
        <f t="shared" si="5"/>
        <v>459646.6</v>
      </c>
      <c r="O32" s="173">
        <f t="shared" si="2"/>
        <v>2729046.8223302444</v>
      </c>
      <c r="P32" s="212"/>
      <c r="Q32" s="212"/>
      <c r="R32" s="213"/>
      <c r="S32" s="213"/>
      <c r="T32" s="212"/>
      <c r="U32" s="212"/>
      <c r="V32" s="212"/>
      <c r="W32" s="212"/>
      <c r="X32" s="212"/>
      <c r="Y32" s="212"/>
      <c r="Z32" s="212"/>
      <c r="AA32" s="212"/>
      <c r="AB32" s="212"/>
    </row>
    <row r="33" spans="1:28" ht="16.5" x14ac:dyDescent="0.25">
      <c r="A33" s="433" t="s">
        <v>172</v>
      </c>
      <c r="B33" s="434"/>
      <c r="C33" s="434"/>
      <c r="D33" s="434"/>
      <c r="E33" s="434"/>
      <c r="F33" s="434"/>
      <c r="G33" s="434"/>
      <c r="H33" s="434"/>
      <c r="I33" s="435"/>
      <c r="J33" s="173">
        <f>1074348/G7*G5*90%</f>
        <v>172362.78782608695</v>
      </c>
      <c r="K33" s="173">
        <f>344532/K7*K5*90%</f>
        <v>140944.90909090909</v>
      </c>
      <c r="L33" s="173">
        <f>596448/O7*O5*90%</f>
        <v>127810.28571428572</v>
      </c>
      <c r="M33" s="173">
        <f>1074348/S7*S5*90%</f>
        <v>265427.15294117649</v>
      </c>
      <c r="N33" s="173">
        <f>285258/W7*W5*90%</f>
        <v>57051.600000000006</v>
      </c>
      <c r="O33" s="173">
        <f t="shared" si="2"/>
        <v>763596.73557245824</v>
      </c>
      <c r="P33" s="176"/>
      <c r="Q33" s="176"/>
      <c r="R33" s="213"/>
      <c r="S33" s="213"/>
      <c r="T33" s="212"/>
      <c r="U33" s="212"/>
      <c r="V33" s="212"/>
      <c r="W33" s="212"/>
      <c r="X33" s="212"/>
      <c r="Y33" s="212"/>
      <c r="Z33" s="212"/>
      <c r="AA33" s="212"/>
      <c r="AB33" s="212"/>
    </row>
    <row r="34" spans="1:28" ht="16.5" x14ac:dyDescent="0.25">
      <c r="A34" s="433" t="s">
        <v>173</v>
      </c>
      <c r="B34" s="434"/>
      <c r="C34" s="434"/>
      <c r="D34" s="434"/>
      <c r="E34" s="434"/>
      <c r="F34" s="434"/>
      <c r="G34" s="434"/>
      <c r="H34" s="434"/>
      <c r="I34" s="435"/>
      <c r="J34" s="173">
        <f>2700788/G7*G5*50%</f>
        <v>240722.40869565218</v>
      </c>
      <c r="K34" s="173">
        <f>1740642/K7*K5*50%</f>
        <v>395600.45454545453</v>
      </c>
      <c r="L34" s="173">
        <f>544514/O7*O5*50%</f>
        <v>64823.095238095237</v>
      </c>
      <c r="M34" s="173">
        <f>2243396/S7*S5*50%</f>
        <v>307917.09803921566</v>
      </c>
      <c r="N34" s="173">
        <f>1089027/W7*W5*50%</f>
        <v>121003</v>
      </c>
      <c r="O34" s="173">
        <f t="shared" si="2"/>
        <v>1130066.0565184178</v>
      </c>
      <c r="P34" s="176"/>
      <c r="Q34" s="176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</row>
    <row r="35" spans="1:28" ht="16.5" x14ac:dyDescent="0.25">
      <c r="A35" s="433" t="s">
        <v>174</v>
      </c>
      <c r="B35" s="434"/>
      <c r="C35" s="434"/>
      <c r="D35" s="434"/>
      <c r="E35" s="434"/>
      <c r="F35" s="434"/>
      <c r="G35" s="434"/>
      <c r="H35" s="434"/>
      <c r="I35" s="435"/>
      <c r="J35" s="173">
        <f>(457221+573806)/224*40</f>
        <v>184111.96428571426</v>
      </c>
      <c r="K35" s="173">
        <f>(68416+85861)/K7*K5</f>
        <v>70125.909090909088</v>
      </c>
      <c r="L35" s="173"/>
      <c r="M35" s="173">
        <f>(483920+607313)/S7*S5</f>
        <v>299554.15686274506</v>
      </c>
      <c r="N35" s="173">
        <f>(1118477+148687)/W7*W5</f>
        <v>281592</v>
      </c>
      <c r="O35" s="173">
        <f t="shared" si="2"/>
        <v>835384.03023936844</v>
      </c>
      <c r="P35" s="176"/>
      <c r="Q35" s="176"/>
      <c r="R35" s="212"/>
      <c r="S35" s="212"/>
      <c r="T35" s="212"/>
      <c r="U35" s="212"/>
      <c r="V35" s="176"/>
      <c r="W35" s="212"/>
      <c r="X35" s="212"/>
      <c r="Y35" s="212"/>
      <c r="Z35" s="212"/>
      <c r="AA35" s="212"/>
      <c r="AB35" s="212"/>
    </row>
    <row r="36" spans="1:28" ht="16.5" x14ac:dyDescent="0.25">
      <c r="A36" s="433" t="s">
        <v>266</v>
      </c>
      <c r="B36" s="434"/>
      <c r="C36" s="434"/>
      <c r="D36" s="434"/>
      <c r="E36" s="434"/>
      <c r="F36" s="434"/>
      <c r="G36" s="434"/>
      <c r="H36" s="434"/>
      <c r="I36" s="435"/>
      <c r="J36" s="173"/>
      <c r="K36" s="173"/>
      <c r="L36" s="173"/>
      <c r="M36" s="173"/>
      <c r="N36" s="173"/>
      <c r="O36" s="173">
        <f t="shared" si="2"/>
        <v>0</v>
      </c>
      <c r="P36" s="176"/>
      <c r="Q36" s="176"/>
      <c r="R36" s="212"/>
      <c r="S36" s="212"/>
      <c r="T36" s="213"/>
      <c r="U36" s="212"/>
      <c r="V36" s="212"/>
      <c r="W36" s="212"/>
      <c r="X36" s="212"/>
      <c r="Y36" s="212"/>
      <c r="Z36" s="212"/>
      <c r="AA36" s="212"/>
      <c r="AB36" s="212"/>
    </row>
    <row r="37" spans="1:28" ht="16.5" x14ac:dyDescent="0.25">
      <c r="A37" s="433" t="s">
        <v>267</v>
      </c>
      <c r="B37" s="434"/>
      <c r="C37" s="434"/>
      <c r="D37" s="434"/>
      <c r="E37" s="434"/>
      <c r="F37" s="434"/>
      <c r="G37" s="434"/>
      <c r="H37" s="434"/>
      <c r="I37" s="435"/>
      <c r="J37" s="173"/>
      <c r="K37" s="173"/>
      <c r="L37" s="173"/>
      <c r="M37" s="173"/>
      <c r="N37" s="173"/>
      <c r="O37" s="173">
        <f t="shared" si="2"/>
        <v>0</v>
      </c>
      <c r="P37" s="212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</row>
    <row r="38" spans="1:28" ht="16.5" x14ac:dyDescent="0.25">
      <c r="A38" s="464" t="s">
        <v>268</v>
      </c>
      <c r="B38" s="465"/>
      <c r="C38" s="465"/>
      <c r="D38" s="465"/>
      <c r="E38" s="465"/>
      <c r="F38" s="465"/>
      <c r="G38" s="465"/>
      <c r="H38" s="465"/>
      <c r="I38" s="466"/>
      <c r="J38" s="226">
        <f>J39</f>
        <v>304842.99</v>
      </c>
      <c r="K38" s="226">
        <f>K39</f>
        <v>882253.45</v>
      </c>
      <c r="L38" s="205">
        <f>L39</f>
        <v>356795.81</v>
      </c>
      <c r="M38" s="205">
        <f>M39</f>
        <v>721561.64999999991</v>
      </c>
      <c r="N38" s="205">
        <f>N39</f>
        <v>545770.58000000007</v>
      </c>
      <c r="O38" s="205">
        <f t="shared" si="2"/>
        <v>2811224.48</v>
      </c>
      <c r="P38" s="176"/>
      <c r="Q38" s="212"/>
      <c r="R38" s="212"/>
      <c r="S38" s="212"/>
      <c r="T38" s="212"/>
      <c r="U38" s="212"/>
      <c r="V38" s="212"/>
      <c r="W38" s="212"/>
      <c r="X38" s="212"/>
      <c r="Y38" s="212"/>
      <c r="Z38" s="212"/>
      <c r="AA38" s="212"/>
      <c r="AB38" s="212"/>
    </row>
    <row r="39" spans="1:28" ht="16.5" x14ac:dyDescent="0.25">
      <c r="A39" s="449" t="s">
        <v>271</v>
      </c>
      <c r="B39" s="450"/>
      <c r="C39" s="450"/>
      <c r="D39" s="450"/>
      <c r="E39" s="450"/>
      <c r="F39" s="450"/>
      <c r="G39" s="450"/>
      <c r="H39" s="450"/>
      <c r="I39" s="451"/>
      <c r="J39" s="242">
        <f>202459.07+102383.92</f>
        <v>304842.99</v>
      </c>
      <c r="K39" s="173">
        <f>343708.18+538545.27</f>
        <v>882253.45</v>
      </c>
      <c r="L39" s="173">
        <f>225163.43+131632.38</f>
        <v>356795.81</v>
      </c>
      <c r="M39" s="173">
        <f>464745.1+256816.55</f>
        <v>721561.64999999991</v>
      </c>
      <c r="N39" s="173">
        <f>383982.58+161788</f>
        <v>545770.58000000007</v>
      </c>
      <c r="O39" s="173">
        <f t="shared" si="2"/>
        <v>2811224.48</v>
      </c>
      <c r="P39" s="176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</row>
    <row r="40" spans="1:28" ht="16.5" x14ac:dyDescent="0.25">
      <c r="A40" s="433" t="s">
        <v>270</v>
      </c>
      <c r="B40" s="434"/>
      <c r="C40" s="434"/>
      <c r="D40" s="434"/>
      <c r="E40" s="434"/>
      <c r="F40" s="434"/>
      <c r="G40" s="434"/>
      <c r="H40" s="434"/>
      <c r="I40" s="435"/>
      <c r="J40" s="205">
        <f>J41</f>
        <v>1210780.5391925469</v>
      </c>
      <c r="K40" s="205">
        <f>K41</f>
        <v>660666.91727272747</v>
      </c>
      <c r="L40" s="205">
        <f>L41</f>
        <v>216013.05904761906</v>
      </c>
      <c r="M40" s="205">
        <f>M41</f>
        <v>2124889.1921568629</v>
      </c>
      <c r="N40" s="205">
        <f>N41</f>
        <v>51916.290000000037</v>
      </c>
      <c r="O40" s="205">
        <f t="shared" si="2"/>
        <v>4264265.9976697564</v>
      </c>
      <c r="P40" s="176"/>
      <c r="Q40" s="212"/>
      <c r="R40" s="212"/>
      <c r="S40" s="176"/>
      <c r="T40" s="212"/>
      <c r="U40" s="212"/>
      <c r="V40" s="212"/>
      <c r="W40" s="212"/>
      <c r="X40" s="212"/>
      <c r="Y40" s="212"/>
      <c r="Z40" s="212"/>
      <c r="AA40" s="212"/>
      <c r="AB40" s="212"/>
    </row>
    <row r="41" spans="1:28" ht="16.5" x14ac:dyDescent="0.25">
      <c r="A41" s="449" t="s">
        <v>269</v>
      </c>
      <c r="B41" s="450"/>
      <c r="C41" s="450"/>
      <c r="D41" s="450"/>
      <c r="E41" s="450"/>
      <c r="F41" s="450"/>
      <c r="G41" s="450"/>
      <c r="H41" s="450"/>
      <c r="I41" s="451"/>
      <c r="J41" s="173">
        <f>884642.56+183302.09+740033.05-J32</f>
        <v>1210780.5391925469</v>
      </c>
      <c r="K41" s="173">
        <f>1036624.09+207807.73+22906.37-K32</f>
        <v>660666.91727272747</v>
      </c>
      <c r="L41" s="173">
        <f>280970.95+127185.24+490.25-L32</f>
        <v>216013.05904761906</v>
      </c>
      <c r="M41" s="173">
        <f>1231783.14+262349.84+1503654.62-M32</f>
        <v>2124889.1921568629</v>
      </c>
      <c r="N41" s="173">
        <f>382151.56+117921.56+11489.77-N32</f>
        <v>51916.290000000037</v>
      </c>
      <c r="O41" s="173">
        <f t="shared" si="2"/>
        <v>4264265.9976697564</v>
      </c>
      <c r="P41" s="176"/>
      <c r="Q41" s="213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</row>
    <row r="42" spans="1:28" ht="16.5" x14ac:dyDescent="0.25">
      <c r="A42" s="452" t="s">
        <v>183</v>
      </c>
      <c r="B42" s="453"/>
      <c r="C42" s="453"/>
      <c r="D42" s="453"/>
      <c r="E42" s="453"/>
      <c r="F42" s="453"/>
      <c r="G42" s="453"/>
      <c r="H42" s="453"/>
      <c r="I42" s="454"/>
      <c r="J42" s="247">
        <f>J25+J30</f>
        <v>4354012.4300000006</v>
      </c>
      <c r="K42" s="247">
        <f t="shared" ref="K42:N42" si="6">K25+K30</f>
        <v>4660713.0000000009</v>
      </c>
      <c r="L42" s="247">
        <f t="shared" si="6"/>
        <v>2521296.2904761904</v>
      </c>
      <c r="M42" s="247">
        <f t="shared" si="6"/>
        <v>6603444.7800000003</v>
      </c>
      <c r="N42" s="247">
        <f t="shared" si="6"/>
        <v>2546708.8000000003</v>
      </c>
      <c r="O42" s="247">
        <f t="shared" si="2"/>
        <v>20686175.300476193</v>
      </c>
      <c r="P42" s="212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</row>
    <row r="43" spans="1:28" ht="16.5" x14ac:dyDescent="0.25">
      <c r="A43" s="442" t="s">
        <v>114</v>
      </c>
      <c r="B43" s="442"/>
      <c r="C43" s="442"/>
      <c r="D43" s="442"/>
      <c r="E43" s="442"/>
      <c r="F43" s="442"/>
      <c r="G43" s="442"/>
      <c r="H43" s="442"/>
      <c r="I43" s="442"/>
      <c r="J43" s="173">
        <f>J42/G5</f>
        <v>106195.42512195124</v>
      </c>
      <c r="K43" s="173">
        <f>K42/K5</f>
        <v>310714.20000000007</v>
      </c>
      <c r="L43" s="173"/>
      <c r="M43" s="173">
        <f>M42/S5</f>
        <v>235837.31357142859</v>
      </c>
      <c r="N43" s="173">
        <f>N42/W5</f>
        <v>141483.82222222222</v>
      </c>
      <c r="O43" s="173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</row>
    <row r="44" spans="1:28" ht="16.5" customHeight="1" x14ac:dyDescent="0.25">
      <c r="A44" s="212"/>
      <c r="B44" s="212"/>
      <c r="C44" s="212"/>
      <c r="D44" s="212"/>
      <c r="E44" s="212"/>
      <c r="F44" s="212"/>
      <c r="G44" s="212"/>
      <c r="H44" s="212"/>
      <c r="I44" s="212"/>
      <c r="J44" s="212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</row>
    <row r="45" spans="1:28" ht="16.5" x14ac:dyDescent="0.25">
      <c r="A45" s="212"/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212" t="s">
        <v>337</v>
      </c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</row>
    <row r="46" spans="1:28" ht="16.5" x14ac:dyDescent="0.25">
      <c r="A46" s="469" t="s">
        <v>272</v>
      </c>
      <c r="B46" s="470"/>
      <c r="C46" s="470"/>
      <c r="D46" s="470"/>
      <c r="E46" s="470"/>
      <c r="F46" s="470"/>
      <c r="G46" s="470"/>
      <c r="H46" s="470"/>
      <c r="I46" s="470"/>
      <c r="J46" s="470"/>
      <c r="K46" s="470"/>
      <c r="L46" s="470"/>
      <c r="M46" s="470"/>
      <c r="N46" s="470"/>
      <c r="O46" s="471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</row>
    <row r="47" spans="1:28" ht="16.5" x14ac:dyDescent="0.25">
      <c r="A47" s="458" t="s">
        <v>258</v>
      </c>
      <c r="B47" s="459"/>
      <c r="C47" s="459"/>
      <c r="D47" s="459"/>
      <c r="E47" s="459"/>
      <c r="F47" s="459"/>
      <c r="G47" s="459"/>
      <c r="H47" s="459"/>
      <c r="I47" s="460"/>
      <c r="J47" s="175">
        <f>J48+J50+J51</f>
        <v>1280226.01</v>
      </c>
      <c r="K47" s="175">
        <f>K48+K50+K51</f>
        <v>480654.55</v>
      </c>
      <c r="L47" s="175">
        <f t="shared" ref="L47:N47" si="7">L48+L50+L51</f>
        <v>915529.1399999999</v>
      </c>
      <c r="M47" s="175">
        <f t="shared" si="7"/>
        <v>1213167.6099999999</v>
      </c>
      <c r="N47" s="175">
        <f t="shared" si="7"/>
        <v>908334</v>
      </c>
      <c r="O47" s="175">
        <f>SUM(J47:N47)</f>
        <v>4797911.3100000005</v>
      </c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</row>
    <row r="48" spans="1:28" ht="16.5" x14ac:dyDescent="0.25">
      <c r="A48" s="461" t="s">
        <v>259</v>
      </c>
      <c r="B48" s="472"/>
      <c r="C48" s="472"/>
      <c r="D48" s="472"/>
      <c r="E48" s="472"/>
      <c r="F48" s="472"/>
      <c r="G48" s="472"/>
      <c r="H48" s="472"/>
      <c r="I48" s="473"/>
      <c r="J48" s="172"/>
      <c r="K48" s="172"/>
      <c r="L48" s="172"/>
      <c r="M48" s="172"/>
      <c r="N48" s="172"/>
      <c r="O48" s="168">
        <f t="shared" ref="O48:O64" si="8">SUM(J48:N48)</f>
        <v>0</v>
      </c>
      <c r="P48" s="212"/>
      <c r="Q48" s="212"/>
      <c r="R48" s="212"/>
      <c r="S48" s="176"/>
      <c r="T48" s="176"/>
      <c r="U48" s="212"/>
      <c r="V48" s="212"/>
      <c r="W48" s="212"/>
      <c r="X48" s="212"/>
      <c r="Y48" s="212"/>
      <c r="Z48" s="212"/>
      <c r="AA48" s="212"/>
      <c r="AB48" s="212"/>
    </row>
    <row r="49" spans="1:28" ht="16.5" x14ac:dyDescent="0.25">
      <c r="A49" s="433" t="s">
        <v>260</v>
      </c>
      <c r="B49" s="434"/>
      <c r="C49" s="434"/>
      <c r="D49" s="434"/>
      <c r="E49" s="434"/>
      <c r="F49" s="434"/>
      <c r="G49" s="434"/>
      <c r="H49" s="434"/>
      <c r="I49" s="435"/>
      <c r="J49" s="168">
        <f>J50</f>
        <v>263406.01</v>
      </c>
      <c r="K49" s="168">
        <f t="shared" ref="K49:N49" si="9">K50</f>
        <v>76363.64</v>
      </c>
      <c r="L49" s="168">
        <f t="shared" si="9"/>
        <v>169548.19</v>
      </c>
      <c r="M49" s="168">
        <f t="shared" si="9"/>
        <v>287442.12</v>
      </c>
      <c r="N49" s="168">
        <f t="shared" si="9"/>
        <v>255156.22</v>
      </c>
      <c r="O49" s="168">
        <f t="shared" si="8"/>
        <v>1051916.18</v>
      </c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</row>
    <row r="50" spans="1:28" ht="16.5" x14ac:dyDescent="0.25">
      <c r="A50" s="449" t="s">
        <v>261</v>
      </c>
      <c r="B50" s="450"/>
      <c r="C50" s="450"/>
      <c r="D50" s="450"/>
      <c r="E50" s="450"/>
      <c r="F50" s="450"/>
      <c r="G50" s="450"/>
      <c r="H50" s="450"/>
      <c r="I50" s="451"/>
      <c r="J50" s="168">
        <v>263406.01</v>
      </c>
      <c r="K50" s="168">
        <v>76363.64</v>
      </c>
      <c r="L50" s="168">
        <v>169548.19</v>
      </c>
      <c r="M50" s="168">
        <v>287442.12</v>
      </c>
      <c r="N50" s="168">
        <v>255156.22</v>
      </c>
      <c r="O50" s="168">
        <f t="shared" si="8"/>
        <v>1051916.18</v>
      </c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</row>
    <row r="51" spans="1:28" ht="16.5" x14ac:dyDescent="0.25">
      <c r="A51" s="433" t="s">
        <v>262</v>
      </c>
      <c r="B51" s="434"/>
      <c r="C51" s="434"/>
      <c r="D51" s="434"/>
      <c r="E51" s="434"/>
      <c r="F51" s="434"/>
      <c r="G51" s="434"/>
      <c r="H51" s="434"/>
      <c r="I51" s="435"/>
      <c r="J51" s="168">
        <v>1016820</v>
      </c>
      <c r="K51" s="168">
        <v>404290.91</v>
      </c>
      <c r="L51" s="168">
        <f>745980.95</f>
        <v>745980.95</v>
      </c>
      <c r="M51" s="168">
        <f>925725.49</f>
        <v>925725.49</v>
      </c>
      <c r="N51" s="168">
        <v>653177.78</v>
      </c>
      <c r="O51" s="168">
        <f t="shared" si="8"/>
        <v>3745995.13</v>
      </c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</row>
    <row r="52" spans="1:28" ht="16.5" x14ac:dyDescent="0.25">
      <c r="A52" s="452" t="s">
        <v>263</v>
      </c>
      <c r="B52" s="453"/>
      <c r="C52" s="453"/>
      <c r="D52" s="453"/>
      <c r="E52" s="453"/>
      <c r="F52" s="453"/>
      <c r="G52" s="453"/>
      <c r="H52" s="453"/>
      <c r="I52" s="454"/>
      <c r="J52" s="175">
        <f>J53+J54+J60+J62</f>
        <v>18790709.359999999</v>
      </c>
      <c r="K52" s="175">
        <f>K53+K54+K61+K62</f>
        <v>5112201.05</v>
      </c>
      <c r="L52" s="175">
        <f t="shared" ref="L52:N52" si="10">L53+L54+L60+L62</f>
        <v>7152618.9699999988</v>
      </c>
      <c r="M52" s="175">
        <f t="shared" si="10"/>
        <v>16238793.609999999</v>
      </c>
      <c r="N52" s="175">
        <f t="shared" si="10"/>
        <v>8005146.8000000007</v>
      </c>
      <c r="O52" s="175">
        <f t="shared" si="8"/>
        <v>55299469.789999992</v>
      </c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</row>
    <row r="53" spans="1:28" ht="16.5" x14ac:dyDescent="0.25">
      <c r="A53" s="449" t="s">
        <v>264</v>
      </c>
      <c r="B53" s="450"/>
      <c r="C53" s="450"/>
      <c r="D53" s="450"/>
      <c r="E53" s="450"/>
      <c r="F53" s="450"/>
      <c r="G53" s="450"/>
      <c r="H53" s="450"/>
      <c r="I53" s="451"/>
      <c r="J53" s="168">
        <v>9051121.25</v>
      </c>
      <c r="K53" s="168">
        <v>2532691.09</v>
      </c>
      <c r="L53" s="168">
        <v>4703203.8099999996</v>
      </c>
      <c r="M53" s="168">
        <v>6409084.8600000003</v>
      </c>
      <c r="N53" s="168">
        <v>4304479.67</v>
      </c>
      <c r="O53" s="168">
        <f t="shared" si="8"/>
        <v>27000580.68</v>
      </c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</row>
    <row r="54" spans="1:28" ht="16.5" x14ac:dyDescent="0.25">
      <c r="A54" s="433" t="s">
        <v>265</v>
      </c>
      <c r="B54" s="434"/>
      <c r="C54" s="434"/>
      <c r="D54" s="434"/>
      <c r="E54" s="434"/>
      <c r="F54" s="434"/>
      <c r="G54" s="434"/>
      <c r="H54" s="434"/>
      <c r="I54" s="435"/>
      <c r="J54" s="168">
        <f>SUM(J55:J57)</f>
        <v>2751457.2339130435</v>
      </c>
      <c r="K54" s="168">
        <f t="shared" ref="K54:N54" si="11">SUM(K55:K57)</f>
        <v>728005.52727272734</v>
      </c>
      <c r="L54" s="168">
        <f t="shared" si="11"/>
        <v>616426.81904761901</v>
      </c>
      <c r="M54" s="168">
        <v>6560516.25</v>
      </c>
      <c r="N54" s="168">
        <f t="shared" si="11"/>
        <v>830985.32222222222</v>
      </c>
      <c r="O54" s="168">
        <f t="shared" si="8"/>
        <v>11487391.152455611</v>
      </c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</row>
    <row r="55" spans="1:28" ht="16.5" x14ac:dyDescent="0.25">
      <c r="A55" s="433" t="s">
        <v>172</v>
      </c>
      <c r="B55" s="434"/>
      <c r="C55" s="434"/>
      <c r="D55" s="434"/>
      <c r="E55" s="434"/>
      <c r="F55" s="434"/>
      <c r="G55" s="434"/>
      <c r="H55" s="434"/>
      <c r="I55" s="435"/>
      <c r="J55" s="168">
        <f>1074348/G7*G6*90%</f>
        <v>794550.41217391309</v>
      </c>
      <c r="K55" s="168">
        <f>344532/K7*K6*90%</f>
        <v>169133.8909090909</v>
      </c>
      <c r="L55" s="168">
        <f>596448/O7*O6*90%</f>
        <v>408992.91428571427</v>
      </c>
      <c r="M55" s="168">
        <f>1074348/S7*S6*90%</f>
        <v>701486.0470588234</v>
      </c>
      <c r="N55" s="168">
        <f>285258/W7*W6*90%</f>
        <v>199680.6</v>
      </c>
      <c r="O55" s="168">
        <f t="shared" si="8"/>
        <v>2273843.8644275418</v>
      </c>
      <c r="P55" s="212"/>
      <c r="Q55" s="176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</row>
    <row r="56" spans="1:28" ht="16.5" x14ac:dyDescent="0.25">
      <c r="A56" s="433" t="s">
        <v>173</v>
      </c>
      <c r="B56" s="434"/>
      <c r="C56" s="434"/>
      <c r="D56" s="434"/>
      <c r="E56" s="434"/>
      <c r="F56" s="434"/>
      <c r="G56" s="434"/>
      <c r="H56" s="434"/>
      <c r="I56" s="435"/>
      <c r="J56" s="168">
        <f>2700788/G7*G6*50%</f>
        <v>1109671.5913043479</v>
      </c>
      <c r="K56" s="168">
        <f>1740642/K7*K6*50%</f>
        <v>474720.54545454547</v>
      </c>
      <c r="L56" s="168">
        <f>544514/O7*O6*50%</f>
        <v>207433.90476190476</v>
      </c>
      <c r="M56" s="168">
        <f>2243396/S7*S6*50%</f>
        <v>813780.90196078434</v>
      </c>
      <c r="N56" s="168">
        <f>1089027/W7*W6*50%</f>
        <v>423510.5</v>
      </c>
      <c r="O56" s="168">
        <f t="shared" si="8"/>
        <v>3029117.4434815822</v>
      </c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</row>
    <row r="57" spans="1:28" ht="16.5" x14ac:dyDescent="0.25">
      <c r="A57" s="433" t="s">
        <v>174</v>
      </c>
      <c r="B57" s="434"/>
      <c r="C57" s="434"/>
      <c r="D57" s="434"/>
      <c r="E57" s="434"/>
      <c r="F57" s="434"/>
      <c r="G57" s="434"/>
      <c r="H57" s="434"/>
      <c r="I57" s="435"/>
      <c r="J57" s="168">
        <f>(457221+573806)/G7*G6</f>
        <v>847235.23043478257</v>
      </c>
      <c r="K57" s="168">
        <f>(68416+85861)/K7*K6</f>
        <v>84151.090909090912</v>
      </c>
      <c r="L57" s="168"/>
      <c r="M57" s="168">
        <f>(483920+607313)/S7*S6</f>
        <v>791678.84313725482</v>
      </c>
      <c r="N57" s="168">
        <f>(118477+148687)/W7*W6</f>
        <v>207794.22222222222</v>
      </c>
      <c r="O57" s="168">
        <f t="shared" si="8"/>
        <v>1930859.3867033506</v>
      </c>
      <c r="P57" s="212"/>
      <c r="Q57" s="176"/>
      <c r="R57" s="212"/>
      <c r="S57" s="212"/>
      <c r="T57" s="212"/>
      <c r="U57" s="212"/>
      <c r="V57" s="212"/>
      <c r="W57" s="212"/>
      <c r="X57" s="212"/>
      <c r="Y57" s="212"/>
      <c r="Z57" s="212"/>
      <c r="AA57" s="212"/>
      <c r="AB57" s="212"/>
    </row>
    <row r="58" spans="1:28" ht="16.5" x14ac:dyDescent="0.25">
      <c r="A58" s="433" t="s">
        <v>266</v>
      </c>
      <c r="B58" s="434"/>
      <c r="C58" s="434"/>
      <c r="D58" s="434"/>
      <c r="E58" s="434"/>
      <c r="F58" s="434"/>
      <c r="G58" s="434"/>
      <c r="H58" s="434"/>
      <c r="I58" s="435"/>
      <c r="J58" s="168"/>
      <c r="K58" s="168"/>
      <c r="L58" s="168"/>
      <c r="M58" s="168"/>
      <c r="N58" s="168"/>
      <c r="O58" s="168">
        <f t="shared" si="8"/>
        <v>0</v>
      </c>
      <c r="P58" s="212"/>
      <c r="Q58" s="212"/>
      <c r="R58" s="176"/>
      <c r="S58" s="212"/>
      <c r="T58" s="212"/>
      <c r="U58" s="212"/>
      <c r="V58" s="212"/>
      <c r="W58" s="212"/>
      <c r="X58" s="212"/>
      <c r="Y58" s="212"/>
      <c r="Z58" s="212"/>
      <c r="AA58" s="212"/>
      <c r="AB58" s="212"/>
    </row>
    <row r="59" spans="1:28" ht="16.5" x14ac:dyDescent="0.25">
      <c r="A59" s="433" t="s">
        <v>267</v>
      </c>
      <c r="B59" s="434"/>
      <c r="C59" s="434"/>
      <c r="D59" s="434"/>
      <c r="E59" s="434"/>
      <c r="F59" s="434"/>
      <c r="G59" s="434"/>
      <c r="H59" s="434"/>
      <c r="I59" s="435"/>
      <c r="J59" s="168"/>
      <c r="K59" s="168"/>
      <c r="L59" s="168"/>
      <c r="M59" s="168"/>
      <c r="N59" s="168"/>
      <c r="O59" s="168">
        <f t="shared" si="8"/>
        <v>0</v>
      </c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212"/>
    </row>
    <row r="60" spans="1:28" ht="16.5" x14ac:dyDescent="0.25">
      <c r="A60" s="464" t="s">
        <v>268</v>
      </c>
      <c r="B60" s="465"/>
      <c r="C60" s="465"/>
      <c r="D60" s="465"/>
      <c r="E60" s="465"/>
      <c r="F60" s="465"/>
      <c r="G60" s="465"/>
      <c r="H60" s="465"/>
      <c r="I60" s="466"/>
      <c r="J60" s="175">
        <f>J61</f>
        <v>1405251.81</v>
      </c>
      <c r="K60" s="175">
        <f>K61</f>
        <v>1058704.1499999999</v>
      </c>
      <c r="L60" s="175">
        <f>L61</f>
        <v>1141746.5899999999</v>
      </c>
      <c r="M60" s="175">
        <f>M61</f>
        <v>1906984.3499999999</v>
      </c>
      <c r="N60" s="175">
        <f>N61</f>
        <v>1910197.02</v>
      </c>
      <c r="O60" s="175">
        <f t="shared" si="8"/>
        <v>7422883.9199999999</v>
      </c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</row>
    <row r="61" spans="1:28" ht="16.5" x14ac:dyDescent="0.25">
      <c r="A61" s="449" t="s">
        <v>271</v>
      </c>
      <c r="B61" s="450"/>
      <c r="C61" s="450"/>
      <c r="D61" s="450"/>
      <c r="E61" s="450"/>
      <c r="F61" s="450"/>
      <c r="G61" s="450"/>
      <c r="H61" s="450"/>
      <c r="I61" s="451"/>
      <c r="J61" s="168">
        <f>471964.88+933286.93</f>
        <v>1405251.81</v>
      </c>
      <c r="K61" s="168">
        <f>646254.33+412449.82</f>
        <v>1058704.1499999999</v>
      </c>
      <c r="L61" s="168">
        <f>720522.97+421223.62</f>
        <v>1141746.5899999999</v>
      </c>
      <c r="M61" s="168">
        <f>1228254.9+678729.45</f>
        <v>1906984.3499999999</v>
      </c>
      <c r="N61" s="168">
        <f>1343939.02+566258</f>
        <v>1910197.02</v>
      </c>
      <c r="O61" s="168">
        <f t="shared" si="8"/>
        <v>7422883.9199999999</v>
      </c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2"/>
      <c r="AB61" s="212"/>
    </row>
    <row r="62" spans="1:28" ht="16.5" x14ac:dyDescent="0.25">
      <c r="A62" s="433" t="s">
        <v>270</v>
      </c>
      <c r="B62" s="434"/>
      <c r="C62" s="434"/>
      <c r="D62" s="434"/>
      <c r="E62" s="434"/>
      <c r="F62" s="434"/>
      <c r="G62" s="434"/>
      <c r="H62" s="434"/>
      <c r="I62" s="435"/>
      <c r="J62" s="175">
        <f>J63</f>
        <v>5582879.0660869563</v>
      </c>
      <c r="K62" s="175">
        <f>K63</f>
        <v>792800.28272727248</v>
      </c>
      <c r="L62" s="175">
        <f>L63</f>
        <v>691241.75095238106</v>
      </c>
      <c r="M62" s="175">
        <f t="shared" ref="M62:N62" si="12">M63</f>
        <v>1362208.1500000004</v>
      </c>
      <c r="N62" s="175">
        <f t="shared" si="12"/>
        <v>959484.78777777764</v>
      </c>
      <c r="O62" s="175">
        <f t="shared" si="8"/>
        <v>9388614.0375443883</v>
      </c>
      <c r="P62" s="212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12"/>
      <c r="AB62" s="212"/>
    </row>
    <row r="63" spans="1:28" ht="16.5" x14ac:dyDescent="0.25">
      <c r="A63" s="449" t="s">
        <v>269</v>
      </c>
      <c r="B63" s="450"/>
      <c r="C63" s="450"/>
      <c r="D63" s="450"/>
      <c r="E63" s="450"/>
      <c r="F63" s="450"/>
      <c r="G63" s="450"/>
      <c r="H63" s="450"/>
      <c r="I63" s="451"/>
      <c r="J63" s="168">
        <f>4077986.44+844977.91+3411371.95-J54</f>
        <v>5582879.0660869563</v>
      </c>
      <c r="K63" s="168">
        <f>1243948.91+249369.27+27487.63-K54</f>
        <v>792800.28272727248</v>
      </c>
      <c r="L63" s="168">
        <f>899107.05+406992.76+1568.76-L54</f>
        <v>691241.75095238106</v>
      </c>
      <c r="M63" s="168">
        <f>3255426.76+693353.16+3973944.48-M54</f>
        <v>1362208.1500000004</v>
      </c>
      <c r="N63" s="168">
        <f>1337530.44+412725.44+40214.23-N54</f>
        <v>959484.78777777764</v>
      </c>
      <c r="O63" s="168">
        <f t="shared" si="8"/>
        <v>9388614.0375443883</v>
      </c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2"/>
      <c r="AB63" s="212"/>
    </row>
    <row r="64" spans="1:28" ht="16.5" x14ac:dyDescent="0.25">
      <c r="A64" s="452" t="s">
        <v>183</v>
      </c>
      <c r="B64" s="453"/>
      <c r="C64" s="453"/>
      <c r="D64" s="453"/>
      <c r="E64" s="453"/>
      <c r="F64" s="453"/>
      <c r="G64" s="453"/>
      <c r="H64" s="453"/>
      <c r="I64" s="454"/>
      <c r="J64" s="247">
        <f>J47+J52</f>
        <v>20070935.370000001</v>
      </c>
      <c r="K64" s="247">
        <f>K47+K52</f>
        <v>5592855.5999999996</v>
      </c>
      <c r="L64" s="247">
        <f t="shared" ref="L64:N64" si="13">L47+L52</f>
        <v>8068148.1099999985</v>
      </c>
      <c r="M64" s="247">
        <f t="shared" si="13"/>
        <v>17451961.219999999</v>
      </c>
      <c r="N64" s="247">
        <f t="shared" si="13"/>
        <v>8913480.8000000007</v>
      </c>
      <c r="O64" s="247">
        <f t="shared" si="8"/>
        <v>60097381.099999994</v>
      </c>
      <c r="P64" s="212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2"/>
      <c r="AB64" s="212"/>
    </row>
    <row r="65" spans="1:28" ht="16.5" x14ac:dyDescent="0.25">
      <c r="A65" s="436" t="s">
        <v>114</v>
      </c>
      <c r="B65" s="437"/>
      <c r="C65" s="437"/>
      <c r="D65" s="437"/>
      <c r="E65" s="437"/>
      <c r="F65" s="437"/>
      <c r="G65" s="437"/>
      <c r="H65" s="437"/>
      <c r="I65" s="438"/>
      <c r="J65" s="251">
        <f>J64/G6</f>
        <v>106195.42523809524</v>
      </c>
      <c r="K65" s="251">
        <f>K64/K6</f>
        <v>310714.19999999995</v>
      </c>
      <c r="L65" s="251">
        <f>L64/O6</f>
        <v>126064.81421874998</v>
      </c>
      <c r="M65" s="251">
        <f>M64/S6</f>
        <v>235837.31378378376</v>
      </c>
      <c r="N65" s="251">
        <f>N64/W6</f>
        <v>141483.82222222222</v>
      </c>
      <c r="O65" s="251"/>
      <c r="P65" s="212"/>
      <c r="Q65" s="212"/>
      <c r="R65" s="212"/>
      <c r="S65" s="212"/>
      <c r="T65" s="212"/>
      <c r="U65" s="212"/>
      <c r="V65" s="212"/>
      <c r="W65" s="212"/>
      <c r="X65" s="212"/>
      <c r="Y65" s="212"/>
      <c r="Z65" s="212"/>
      <c r="AA65" s="212"/>
      <c r="AB65" s="212"/>
    </row>
    <row r="66" spans="1:28" ht="16.5" x14ac:dyDescent="0.25">
      <c r="A66" s="452" t="s">
        <v>312</v>
      </c>
      <c r="B66" s="453"/>
      <c r="C66" s="453"/>
      <c r="D66" s="453"/>
      <c r="E66" s="453"/>
      <c r="F66" s="453"/>
      <c r="G66" s="453"/>
      <c r="H66" s="453"/>
      <c r="I66" s="454"/>
      <c r="J66" s="247">
        <f t="shared" ref="J66:O66" si="14">J42+J64</f>
        <v>24424947.800000001</v>
      </c>
      <c r="K66" s="247">
        <f t="shared" si="14"/>
        <v>10253568.600000001</v>
      </c>
      <c r="L66" s="247">
        <f t="shared" si="14"/>
        <v>10589444.400476189</v>
      </c>
      <c r="M66" s="247">
        <f t="shared" si="14"/>
        <v>24055406</v>
      </c>
      <c r="N66" s="247">
        <f t="shared" si="14"/>
        <v>11460189.600000001</v>
      </c>
      <c r="O66" s="247">
        <f t="shared" si="14"/>
        <v>80783556.400476187</v>
      </c>
      <c r="P66" s="212"/>
      <c r="Q66" s="212"/>
      <c r="R66" s="212"/>
      <c r="S66" s="212"/>
      <c r="T66" s="212"/>
      <c r="U66" s="212"/>
      <c r="V66" s="212"/>
      <c r="W66" s="212"/>
      <c r="X66" s="212"/>
      <c r="Y66" s="212"/>
      <c r="Z66" s="212"/>
      <c r="AA66" s="212"/>
      <c r="AB66" s="212"/>
    </row>
  </sheetData>
  <mergeCells count="77">
    <mergeCell ref="A62:I62"/>
    <mergeCell ref="A63:I63"/>
    <mergeCell ref="A64:I64"/>
    <mergeCell ref="A65:I65"/>
    <mergeCell ref="A66:I66"/>
    <mergeCell ref="A61:I61"/>
    <mergeCell ref="A50:I50"/>
    <mergeCell ref="A51:I51"/>
    <mergeCell ref="A52:I52"/>
    <mergeCell ref="A53:I53"/>
    <mergeCell ref="A54:I54"/>
    <mergeCell ref="A55:I55"/>
    <mergeCell ref="A56:I56"/>
    <mergeCell ref="A57:I57"/>
    <mergeCell ref="A58:I58"/>
    <mergeCell ref="A59:I59"/>
    <mergeCell ref="A60:I60"/>
    <mergeCell ref="A49:I49"/>
    <mergeCell ref="A36:I36"/>
    <mergeCell ref="A37:I37"/>
    <mergeCell ref="A38:I38"/>
    <mergeCell ref="A39:I39"/>
    <mergeCell ref="A40:I40"/>
    <mergeCell ref="A41:I41"/>
    <mergeCell ref="A42:I42"/>
    <mergeCell ref="A43:I43"/>
    <mergeCell ref="A46:O46"/>
    <mergeCell ref="A47:I47"/>
    <mergeCell ref="A48:I48"/>
    <mergeCell ref="A35:I35"/>
    <mergeCell ref="A24:O24"/>
    <mergeCell ref="A25:I25"/>
    <mergeCell ref="A26:I26"/>
    <mergeCell ref="A27:I27"/>
    <mergeCell ref="A28:I28"/>
    <mergeCell ref="A29:I29"/>
    <mergeCell ref="A30:I30"/>
    <mergeCell ref="A31:I31"/>
    <mergeCell ref="A32:I32"/>
    <mergeCell ref="A33:I33"/>
    <mergeCell ref="A34:I34"/>
    <mergeCell ref="A23:I23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A18:D18"/>
    <mergeCell ref="Z7:Z8"/>
    <mergeCell ref="S3:V3"/>
    <mergeCell ref="W3:Z3"/>
    <mergeCell ref="AA3:AA4"/>
    <mergeCell ref="B5:D5"/>
    <mergeCell ref="B6:D6"/>
    <mergeCell ref="B7:D7"/>
    <mergeCell ref="I7:I8"/>
    <mergeCell ref="J7:J8"/>
    <mergeCell ref="M7:M8"/>
    <mergeCell ref="N7:N8"/>
    <mergeCell ref="Q7:Q8"/>
    <mergeCell ref="R7:R8"/>
    <mergeCell ref="U7:U8"/>
    <mergeCell ref="V7:V8"/>
    <mergeCell ref="Y7:Y8"/>
    <mergeCell ref="L2:Q2"/>
    <mergeCell ref="A3:A4"/>
    <mergeCell ref="B3:D4"/>
    <mergeCell ref="E3:E4"/>
    <mergeCell ref="F3:F4"/>
    <mergeCell ref="G3:J3"/>
    <mergeCell ref="K3:N3"/>
    <mergeCell ref="O3:R3"/>
  </mergeCells>
  <pageMargins left="0" right="0" top="0" bottom="0" header="0" footer="0"/>
  <pageSetup paperSize="9" scale="43" fitToHeight="0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Y108"/>
  <sheetViews>
    <sheetView workbookViewId="0">
      <selection activeCell="U1" sqref="U1:X1"/>
    </sheetView>
  </sheetViews>
  <sheetFormatPr defaultRowHeight="15" x14ac:dyDescent="0.25"/>
  <cols>
    <col min="5" max="5" width="10.85546875" bestFit="1" customWidth="1"/>
    <col min="6" max="6" width="9.28515625" bestFit="1" customWidth="1"/>
    <col min="7" max="7" width="12.7109375" bestFit="1" customWidth="1"/>
    <col min="9" max="9" width="17.140625" customWidth="1"/>
    <col min="10" max="10" width="14.7109375" bestFit="1" customWidth="1"/>
    <col min="11" max="11" width="14.42578125" customWidth="1"/>
    <col min="12" max="12" width="13.42578125" bestFit="1" customWidth="1"/>
    <col min="13" max="13" width="15.85546875" customWidth="1"/>
    <col min="14" max="14" width="12.28515625" bestFit="1" customWidth="1"/>
    <col min="15" max="15" width="14.85546875" bestFit="1" customWidth="1"/>
    <col min="16" max="16" width="10.5703125" bestFit="1" customWidth="1"/>
    <col min="17" max="17" width="14.85546875" bestFit="1" customWidth="1"/>
    <col min="18" max="19" width="9.28515625" bestFit="1" customWidth="1"/>
    <col min="21" max="21" width="16" bestFit="1" customWidth="1"/>
    <col min="22" max="23" width="9.28515625" bestFit="1" customWidth="1"/>
    <col min="25" max="25" width="16" bestFit="1" customWidth="1"/>
    <col min="26" max="26" width="10.5703125" bestFit="1" customWidth="1"/>
  </cols>
  <sheetData>
    <row r="1" spans="1:25" ht="16.5" x14ac:dyDescent="0.25">
      <c r="A1" s="212"/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482" t="s">
        <v>310</v>
      </c>
      <c r="M1" s="482"/>
      <c r="N1" s="482"/>
      <c r="O1" s="482"/>
      <c r="P1" s="482"/>
      <c r="Q1" s="482"/>
      <c r="R1" s="212"/>
      <c r="S1" s="1"/>
      <c r="T1" s="1"/>
      <c r="U1" s="1" t="s">
        <v>410</v>
      </c>
      <c r="V1" s="224"/>
      <c r="W1" s="224"/>
      <c r="X1" s="224"/>
      <c r="Y1" s="212"/>
    </row>
    <row r="2" spans="1:25" ht="16.5" x14ac:dyDescent="0.25">
      <c r="A2" s="485" t="s">
        <v>71</v>
      </c>
      <c r="B2" s="486"/>
      <c r="C2" s="487"/>
      <c r="D2" s="491" t="s">
        <v>2</v>
      </c>
      <c r="E2" s="493" t="s">
        <v>123</v>
      </c>
      <c r="F2" s="474" t="s">
        <v>120</v>
      </c>
      <c r="G2" s="474"/>
      <c r="H2" s="474"/>
      <c r="I2" s="474"/>
      <c r="J2" s="474" t="s">
        <v>118</v>
      </c>
      <c r="K2" s="474"/>
      <c r="L2" s="474"/>
      <c r="M2" s="474"/>
      <c r="N2" s="479" t="s">
        <v>119</v>
      </c>
      <c r="O2" s="480"/>
      <c r="P2" s="480"/>
      <c r="Q2" s="481"/>
      <c r="R2" s="479" t="s">
        <v>129</v>
      </c>
      <c r="S2" s="480"/>
      <c r="T2" s="480"/>
      <c r="U2" s="481"/>
      <c r="V2" s="474" t="s">
        <v>130</v>
      </c>
      <c r="W2" s="474"/>
      <c r="X2" s="474"/>
      <c r="Y2" s="474"/>
    </row>
    <row r="3" spans="1:25" ht="82.5" x14ac:dyDescent="0.25">
      <c r="A3" s="488"/>
      <c r="B3" s="489"/>
      <c r="C3" s="490"/>
      <c r="D3" s="492"/>
      <c r="E3" s="494"/>
      <c r="F3" s="207" t="s">
        <v>122</v>
      </c>
      <c r="G3" s="207" t="s">
        <v>13</v>
      </c>
      <c r="H3" s="207" t="s">
        <v>14</v>
      </c>
      <c r="I3" s="207" t="s">
        <v>25</v>
      </c>
      <c r="J3" s="207" t="s">
        <v>122</v>
      </c>
      <c r="K3" s="207" t="s">
        <v>116</v>
      </c>
      <c r="L3" s="207" t="s">
        <v>14</v>
      </c>
      <c r="M3" s="207" t="s">
        <v>25</v>
      </c>
      <c r="N3" s="207" t="s">
        <v>12</v>
      </c>
      <c r="O3" s="207" t="s">
        <v>116</v>
      </c>
      <c r="P3" s="207" t="s">
        <v>3</v>
      </c>
      <c r="Q3" s="207" t="s">
        <v>25</v>
      </c>
      <c r="R3" s="207" t="s">
        <v>121</v>
      </c>
      <c r="S3" s="207" t="s">
        <v>116</v>
      </c>
      <c r="T3" s="207" t="s">
        <v>14</v>
      </c>
      <c r="U3" s="207" t="s">
        <v>25</v>
      </c>
      <c r="V3" s="207" t="s">
        <v>121</v>
      </c>
      <c r="W3" s="207" t="s">
        <v>116</v>
      </c>
      <c r="X3" s="207" t="s">
        <v>3</v>
      </c>
      <c r="Y3" s="207" t="s">
        <v>25</v>
      </c>
    </row>
    <row r="4" spans="1:25" ht="16.5" x14ac:dyDescent="0.25">
      <c r="A4" s="433" t="s">
        <v>72</v>
      </c>
      <c r="B4" s="434"/>
      <c r="C4" s="435"/>
      <c r="D4" s="214" t="s">
        <v>73</v>
      </c>
      <c r="E4" s="173">
        <v>35000</v>
      </c>
      <c r="F4" s="172">
        <v>7</v>
      </c>
      <c r="G4" s="173">
        <f>E4*F4</f>
        <v>245000</v>
      </c>
      <c r="H4" s="172"/>
      <c r="I4" s="250">
        <f>666300-I5</f>
        <v>573800</v>
      </c>
      <c r="J4" s="172">
        <v>2</v>
      </c>
      <c r="K4" s="173">
        <f>J4*E4</f>
        <v>70000</v>
      </c>
      <c r="L4" s="172"/>
      <c r="M4" s="173">
        <f>110600-M5</f>
        <v>92100</v>
      </c>
      <c r="N4" s="172">
        <v>1</v>
      </c>
      <c r="O4" s="173">
        <v>35000</v>
      </c>
      <c r="P4" s="172"/>
      <c r="Q4" s="173">
        <f>110600-Q5</f>
        <v>92100</v>
      </c>
      <c r="R4" s="172">
        <v>11</v>
      </c>
      <c r="S4" s="172"/>
      <c r="T4" s="172"/>
      <c r="U4" s="172">
        <f>925900-U5</f>
        <v>555900</v>
      </c>
      <c r="V4" s="172">
        <v>5</v>
      </c>
      <c r="W4" s="172">
        <f>V4*35000</f>
        <v>175000</v>
      </c>
      <c r="X4" s="172"/>
      <c r="Y4" s="172">
        <f>124350-Y5</f>
        <v>87350</v>
      </c>
    </row>
    <row r="5" spans="1:25" ht="16.5" x14ac:dyDescent="0.25">
      <c r="A5" s="433" t="s">
        <v>79</v>
      </c>
      <c r="B5" s="434"/>
      <c r="C5" s="435"/>
      <c r="D5" s="214" t="s">
        <v>73</v>
      </c>
      <c r="E5" s="173">
        <v>1325</v>
      </c>
      <c r="F5" s="172">
        <v>41.25</v>
      </c>
      <c r="G5" s="173">
        <f>E5*F5</f>
        <v>54656.25</v>
      </c>
      <c r="H5" s="172"/>
      <c r="I5" s="250">
        <f>12500+80000</f>
        <v>92500</v>
      </c>
      <c r="J5" s="172">
        <v>9.5</v>
      </c>
      <c r="K5" s="173">
        <f>1325*9.5</f>
        <v>12587.5</v>
      </c>
      <c r="L5" s="172"/>
      <c r="M5" s="173">
        <f>2500+16000</f>
        <v>18500</v>
      </c>
      <c r="N5" s="172">
        <v>6</v>
      </c>
      <c r="O5" s="173">
        <v>7950</v>
      </c>
      <c r="P5" s="172"/>
      <c r="Q5" s="173">
        <f>2500+16000</f>
        <v>18500</v>
      </c>
      <c r="R5" s="172"/>
      <c r="S5" s="172"/>
      <c r="T5" s="172"/>
      <c r="U5" s="172">
        <v>370000</v>
      </c>
      <c r="V5" s="172">
        <v>2</v>
      </c>
      <c r="W5" s="172">
        <v>18500</v>
      </c>
      <c r="X5" s="172"/>
      <c r="Y5" s="172">
        <v>37000</v>
      </c>
    </row>
    <row r="6" spans="1:25" ht="16.5" x14ac:dyDescent="0.25">
      <c r="A6" s="449" t="s">
        <v>105</v>
      </c>
      <c r="B6" s="450"/>
      <c r="C6" s="451"/>
      <c r="D6" s="214" t="s">
        <v>73</v>
      </c>
      <c r="E6" s="173"/>
      <c r="F6" s="172"/>
      <c r="G6" s="173"/>
      <c r="H6" s="172"/>
      <c r="I6" s="250"/>
      <c r="J6" s="172"/>
      <c r="K6" s="173"/>
      <c r="L6" s="172"/>
      <c r="M6" s="173"/>
      <c r="N6" s="172"/>
      <c r="O6" s="173"/>
      <c r="P6" s="172"/>
      <c r="Q6" s="212"/>
      <c r="R6" s="172"/>
      <c r="S6" s="172"/>
      <c r="T6" s="172"/>
      <c r="U6" s="172"/>
      <c r="V6" s="172"/>
      <c r="W6" s="172"/>
      <c r="X6" s="172"/>
      <c r="Y6" s="172"/>
    </row>
    <row r="7" spans="1:25" ht="16.5" x14ac:dyDescent="0.25">
      <c r="A7" s="442" t="s">
        <v>102</v>
      </c>
      <c r="B7" s="442"/>
      <c r="C7" s="442"/>
      <c r="D7" s="214" t="s">
        <v>73</v>
      </c>
      <c r="E7" s="173"/>
      <c r="F7" s="172"/>
      <c r="G7" s="173"/>
      <c r="H7" s="172"/>
      <c r="I7" s="250">
        <f>194404+1477247</f>
        <v>1671651</v>
      </c>
      <c r="J7" s="172"/>
      <c r="K7" s="173"/>
      <c r="L7" s="172"/>
      <c r="M7" s="173">
        <v>481642</v>
      </c>
      <c r="N7" s="172"/>
      <c r="O7" s="173"/>
      <c r="P7" s="172"/>
      <c r="Q7" s="173">
        <v>1046497</v>
      </c>
      <c r="R7" s="172"/>
      <c r="S7" s="172"/>
      <c r="T7" s="172"/>
      <c r="U7" s="172">
        <v>3387614</v>
      </c>
      <c r="V7" s="172"/>
      <c r="W7" s="172"/>
      <c r="X7" s="172"/>
      <c r="Y7" s="172">
        <v>1030270</v>
      </c>
    </row>
    <row r="8" spans="1:25" ht="16.5" x14ac:dyDescent="0.25">
      <c r="A8" s="442" t="s">
        <v>106</v>
      </c>
      <c r="B8" s="442"/>
      <c r="C8" s="442"/>
      <c r="D8" s="214" t="s">
        <v>73</v>
      </c>
      <c r="E8" s="173">
        <v>250</v>
      </c>
      <c r="F8" s="230">
        <v>1075.7</v>
      </c>
      <c r="G8" s="213">
        <f>F8*E8</f>
        <v>268925</v>
      </c>
      <c r="H8" s="172"/>
      <c r="I8" s="496">
        <v>533420</v>
      </c>
      <c r="J8" s="172">
        <v>381.6</v>
      </c>
      <c r="K8" s="173">
        <f>J8*E8</f>
        <v>95400</v>
      </c>
      <c r="L8" s="172"/>
      <c r="M8" s="477">
        <v>137084</v>
      </c>
      <c r="N8" s="172">
        <v>262</v>
      </c>
      <c r="O8" s="173">
        <v>65500</v>
      </c>
      <c r="P8" s="172"/>
      <c r="Q8" s="496">
        <v>65000</v>
      </c>
      <c r="R8" s="172"/>
      <c r="S8" s="172"/>
      <c r="T8" s="172"/>
      <c r="U8" s="172">
        <f>645900+863400</f>
        <v>1509300</v>
      </c>
      <c r="V8" s="172"/>
      <c r="W8" s="172"/>
      <c r="X8" s="172"/>
      <c r="Y8" s="172">
        <v>295000</v>
      </c>
    </row>
    <row r="9" spans="1:25" ht="16.5" x14ac:dyDescent="0.25">
      <c r="A9" s="442" t="s">
        <v>109</v>
      </c>
      <c r="B9" s="442"/>
      <c r="C9" s="442"/>
      <c r="D9" s="214" t="s">
        <v>73</v>
      </c>
      <c r="E9" s="173"/>
      <c r="F9" s="172">
        <v>1075.7</v>
      </c>
      <c r="G9" s="213">
        <f>F9*E9</f>
        <v>0</v>
      </c>
      <c r="H9" s="172"/>
      <c r="I9" s="497"/>
      <c r="J9" s="172">
        <v>381.6</v>
      </c>
      <c r="K9" s="173">
        <f>J9*E9</f>
        <v>0</v>
      </c>
      <c r="L9" s="172"/>
      <c r="M9" s="478"/>
      <c r="N9" s="172">
        <v>262</v>
      </c>
      <c r="O9" s="173">
        <f>N33*E33</f>
        <v>0</v>
      </c>
      <c r="P9" s="172"/>
      <c r="Q9" s="497"/>
      <c r="R9" s="172"/>
      <c r="S9" s="172"/>
      <c r="T9" s="172"/>
      <c r="U9" s="212"/>
      <c r="V9" s="172"/>
      <c r="W9" s="172"/>
      <c r="X9" s="172"/>
      <c r="Y9" s="172"/>
    </row>
    <row r="10" spans="1:25" ht="16.5" x14ac:dyDescent="0.25">
      <c r="A10" s="436" t="s">
        <v>84</v>
      </c>
      <c r="B10" s="437"/>
      <c r="C10" s="438"/>
      <c r="D10" s="235" t="s">
        <v>73</v>
      </c>
      <c r="E10" s="220">
        <v>270</v>
      </c>
      <c r="F10" s="171">
        <v>1075.7</v>
      </c>
      <c r="G10" s="220">
        <f>F10*E10</f>
        <v>290439</v>
      </c>
      <c r="H10" s="171"/>
      <c r="I10" s="251">
        <v>415520</v>
      </c>
      <c r="J10" s="212">
        <v>150</v>
      </c>
      <c r="K10" s="220">
        <f>J9*J10</f>
        <v>57240</v>
      </c>
      <c r="L10" s="171"/>
      <c r="M10" s="220">
        <v>127212</v>
      </c>
      <c r="N10" s="171">
        <v>150</v>
      </c>
      <c r="O10" s="220">
        <v>39300</v>
      </c>
      <c r="P10" s="171"/>
      <c r="Q10" s="220">
        <v>60000</v>
      </c>
      <c r="R10" s="172"/>
      <c r="S10" s="172"/>
      <c r="T10" s="172"/>
      <c r="U10" s="238">
        <v>1239007</v>
      </c>
      <c r="V10" s="172"/>
      <c r="W10" s="172">
        <v>250</v>
      </c>
      <c r="X10" s="172"/>
      <c r="Y10" s="172">
        <v>173250</v>
      </c>
    </row>
    <row r="11" spans="1:25" ht="16.5" x14ac:dyDescent="0.25">
      <c r="A11" s="433" t="s">
        <v>86</v>
      </c>
      <c r="B11" s="434"/>
      <c r="C11" s="435"/>
      <c r="D11" s="235" t="s">
        <v>73</v>
      </c>
      <c r="E11" s="172">
        <v>370</v>
      </c>
      <c r="F11" s="172">
        <v>270</v>
      </c>
      <c r="G11" s="173">
        <f>E11*F11</f>
        <v>99900</v>
      </c>
      <c r="H11" s="172"/>
      <c r="I11" s="250">
        <v>150000</v>
      </c>
      <c r="J11" s="172">
        <v>70</v>
      </c>
      <c r="K11" s="173">
        <f>J11*E11</f>
        <v>25900</v>
      </c>
      <c r="L11" s="172"/>
      <c r="M11" s="173"/>
      <c r="N11" s="172">
        <v>24</v>
      </c>
      <c r="O11" s="173">
        <v>8880</v>
      </c>
      <c r="P11" s="172"/>
      <c r="Q11" s="173">
        <v>15000</v>
      </c>
      <c r="R11" s="172">
        <v>11162</v>
      </c>
      <c r="S11" s="172"/>
      <c r="T11" s="172"/>
      <c r="U11" s="172">
        <v>187000</v>
      </c>
      <c r="V11" s="172"/>
      <c r="W11" s="172"/>
      <c r="X11" s="172"/>
      <c r="Y11" s="172">
        <v>18500</v>
      </c>
    </row>
    <row r="12" spans="1:25" ht="16.5" x14ac:dyDescent="0.25">
      <c r="A12" s="433" t="s">
        <v>88</v>
      </c>
      <c r="B12" s="434"/>
      <c r="C12" s="435"/>
      <c r="D12" s="235" t="s">
        <v>73</v>
      </c>
      <c r="E12" s="172">
        <v>370</v>
      </c>
      <c r="F12" s="172">
        <v>1075.7</v>
      </c>
      <c r="G12" s="173">
        <f>700*F12</f>
        <v>752990</v>
      </c>
      <c r="H12" s="172"/>
      <c r="I12" s="250">
        <v>100000</v>
      </c>
      <c r="J12" s="172">
        <v>381.6</v>
      </c>
      <c r="K12" s="173"/>
      <c r="L12" s="172"/>
      <c r="M12" s="173">
        <v>25000</v>
      </c>
      <c r="N12" s="172">
        <v>262</v>
      </c>
      <c r="O12" s="173">
        <v>52400</v>
      </c>
      <c r="P12" s="172"/>
      <c r="Q12" s="173">
        <v>20000</v>
      </c>
      <c r="R12" s="172"/>
      <c r="S12" s="172"/>
      <c r="T12" s="172"/>
      <c r="U12" s="172"/>
      <c r="V12" s="172"/>
      <c r="W12" s="172"/>
      <c r="X12" s="172"/>
      <c r="Y12" s="172"/>
    </row>
    <row r="13" spans="1:25" ht="16.5" x14ac:dyDescent="0.25">
      <c r="A13" s="436" t="s">
        <v>90</v>
      </c>
      <c r="B13" s="437"/>
      <c r="C13" s="438"/>
      <c r="D13" s="235" t="s">
        <v>73</v>
      </c>
      <c r="E13" s="172"/>
      <c r="F13" s="172"/>
      <c r="G13" s="212"/>
      <c r="H13" s="172"/>
      <c r="I13" s="250">
        <v>49687</v>
      </c>
      <c r="J13" s="172"/>
      <c r="K13" s="173"/>
      <c r="L13" s="172"/>
      <c r="M13" s="173">
        <v>456469</v>
      </c>
      <c r="N13" s="172"/>
      <c r="O13" s="173"/>
      <c r="P13" s="172"/>
      <c r="Q13" s="173">
        <v>63439</v>
      </c>
      <c r="R13" s="172"/>
      <c r="S13" s="172"/>
      <c r="T13" s="172"/>
      <c r="U13" s="172">
        <v>44163</v>
      </c>
      <c r="V13" s="172"/>
      <c r="W13" s="172"/>
      <c r="X13" s="172"/>
      <c r="Y13" s="172">
        <v>39136</v>
      </c>
    </row>
    <row r="14" spans="1:25" ht="16.5" x14ac:dyDescent="0.25">
      <c r="A14" s="442" t="s">
        <v>95</v>
      </c>
      <c r="B14" s="442"/>
      <c r="C14" s="442"/>
      <c r="D14" s="235" t="s">
        <v>73</v>
      </c>
      <c r="E14" s="172">
        <v>370</v>
      </c>
      <c r="F14" s="172">
        <v>270</v>
      </c>
      <c r="G14" s="173">
        <f>1150*260</f>
        <v>299000</v>
      </c>
      <c r="H14" s="172"/>
      <c r="I14" s="250">
        <f>400000+365400+5567400</f>
        <v>6332800</v>
      </c>
      <c r="J14" s="172">
        <v>73</v>
      </c>
      <c r="K14" s="173">
        <f>E13:E14*J14</f>
        <v>27010</v>
      </c>
      <c r="L14" s="172"/>
      <c r="M14" s="173">
        <v>65000</v>
      </c>
      <c r="N14" s="172">
        <v>24</v>
      </c>
      <c r="O14" s="173">
        <v>8880</v>
      </c>
      <c r="P14" s="172"/>
      <c r="Q14" s="173">
        <v>70000</v>
      </c>
      <c r="R14" s="172"/>
      <c r="S14" s="172"/>
      <c r="T14" s="172"/>
      <c r="U14" s="172">
        <v>250000</v>
      </c>
      <c r="V14" s="172"/>
      <c r="W14" s="172"/>
      <c r="X14" s="172"/>
      <c r="Y14" s="172">
        <v>35000</v>
      </c>
    </row>
    <row r="15" spans="1:25" ht="16.5" x14ac:dyDescent="0.25">
      <c r="A15" s="433" t="s">
        <v>104</v>
      </c>
      <c r="B15" s="434"/>
      <c r="C15" s="435"/>
      <c r="D15" s="235" t="s">
        <v>73</v>
      </c>
      <c r="E15" s="172"/>
      <c r="F15" s="172"/>
      <c r="G15" s="173"/>
      <c r="H15" s="172"/>
      <c r="I15" s="250">
        <v>37445022</v>
      </c>
      <c r="J15" s="172"/>
      <c r="K15" s="173"/>
      <c r="L15" s="172"/>
      <c r="M15" s="173">
        <v>8958093</v>
      </c>
      <c r="N15" s="172"/>
      <c r="O15" s="173"/>
      <c r="P15" s="172"/>
      <c r="Q15" s="173">
        <v>5776164</v>
      </c>
      <c r="R15" s="172"/>
      <c r="S15" s="172"/>
      <c r="T15" s="172"/>
      <c r="U15" s="172">
        <v>48147616</v>
      </c>
      <c r="V15" s="172"/>
      <c r="W15" s="172"/>
      <c r="X15" s="172"/>
      <c r="Y15" s="172">
        <v>13825694</v>
      </c>
    </row>
    <row r="16" spans="1:25" ht="16.5" x14ac:dyDescent="0.25">
      <c r="A16" s="433" t="s">
        <v>111</v>
      </c>
      <c r="B16" s="434"/>
      <c r="C16" s="435"/>
      <c r="D16" s="235" t="s">
        <v>73</v>
      </c>
      <c r="E16" s="173"/>
      <c r="F16" s="172"/>
      <c r="G16" s="173"/>
      <c r="H16" s="172"/>
      <c r="I16" s="250">
        <v>157200</v>
      </c>
      <c r="J16" s="172"/>
      <c r="K16" s="173"/>
      <c r="L16" s="172"/>
      <c r="M16" s="173">
        <v>112800</v>
      </c>
      <c r="N16" s="172"/>
      <c r="O16" s="173"/>
      <c r="P16" s="172"/>
      <c r="Q16" s="173">
        <v>122000</v>
      </c>
      <c r="R16" s="172"/>
      <c r="S16" s="172"/>
      <c r="T16" s="172"/>
      <c r="U16" s="172">
        <v>967200</v>
      </c>
      <c r="V16" s="172"/>
      <c r="W16" s="172"/>
      <c r="X16" s="172"/>
      <c r="Y16" s="172">
        <v>104400</v>
      </c>
    </row>
    <row r="17" spans="1:25" ht="16.5" x14ac:dyDescent="0.25">
      <c r="A17" s="433" t="s">
        <v>112</v>
      </c>
      <c r="B17" s="434"/>
      <c r="C17" s="435"/>
      <c r="D17" s="172"/>
      <c r="E17" s="173"/>
      <c r="F17" s="172"/>
      <c r="G17" s="173"/>
      <c r="H17" s="172"/>
      <c r="I17" s="247">
        <f>SUM(I4:I16)</f>
        <v>47521600</v>
      </c>
      <c r="J17" s="172"/>
      <c r="K17" s="173"/>
      <c r="L17" s="172"/>
      <c r="M17" s="247">
        <f>SUM(M4:M16)</f>
        <v>10473900</v>
      </c>
      <c r="N17" s="172"/>
      <c r="O17" s="173"/>
      <c r="P17" s="172"/>
      <c r="Q17" s="247">
        <f>SUM(Q4:Q16)</f>
        <v>7348700</v>
      </c>
      <c r="R17" s="172"/>
      <c r="S17" s="172"/>
      <c r="T17" s="172"/>
      <c r="U17" s="247">
        <f>SUM(U4:U16)</f>
        <v>56657800</v>
      </c>
      <c r="V17" s="172"/>
      <c r="W17" s="172"/>
      <c r="X17" s="172"/>
      <c r="Y17" s="247">
        <f>SUM(Y4:Y16)</f>
        <v>15645600</v>
      </c>
    </row>
    <row r="18" spans="1:25" ht="16.5" x14ac:dyDescent="0.25">
      <c r="A18" s="239" t="s">
        <v>309</v>
      </c>
      <c r="B18" s="194"/>
      <c r="C18" s="194"/>
      <c r="D18" s="194"/>
      <c r="E18" s="194"/>
      <c r="F18" s="194"/>
      <c r="G18" s="194"/>
      <c r="H18" s="194"/>
      <c r="I18" s="250">
        <f>(I11+I14)/338</f>
        <v>19179.881656804733</v>
      </c>
      <c r="J18" s="194">
        <v>73</v>
      </c>
      <c r="K18" s="194"/>
      <c r="L18" s="194"/>
      <c r="M18" s="173">
        <f>(M11+M14)/J18</f>
        <v>890.41095890410963</v>
      </c>
      <c r="N18" s="194">
        <v>24</v>
      </c>
      <c r="O18" s="240"/>
      <c r="P18" s="194"/>
      <c r="Q18" s="173">
        <f>(Q11+Q14)/N18</f>
        <v>3541.6666666666665</v>
      </c>
      <c r="R18" s="194">
        <v>74500</v>
      </c>
      <c r="S18" s="194"/>
      <c r="T18" s="194"/>
      <c r="U18" s="240">
        <f>U17/8160</f>
        <v>6943.3578431372553</v>
      </c>
      <c r="V18" s="194" t="s">
        <v>133</v>
      </c>
      <c r="W18" s="194"/>
      <c r="X18" s="194"/>
      <c r="Y18" s="195"/>
    </row>
    <row r="19" spans="1:25" ht="16.5" x14ac:dyDescent="0.25">
      <c r="A19" s="433" t="s">
        <v>126</v>
      </c>
      <c r="B19" s="434"/>
      <c r="C19" s="434"/>
      <c r="D19" s="434"/>
      <c r="E19" s="434"/>
      <c r="F19" s="434"/>
      <c r="G19" s="434"/>
      <c r="H19" s="435"/>
      <c r="I19" s="250">
        <f>(I8+I10+I12+I7)/1075.7</f>
        <v>2529.1354466858788</v>
      </c>
      <c r="J19" s="194"/>
      <c r="K19" s="194"/>
      <c r="L19" s="194"/>
      <c r="M19" s="173">
        <f>(M8+M10+M12+M7)/J9</f>
        <v>2020.2777777777776</v>
      </c>
      <c r="N19" s="194"/>
      <c r="O19" s="240"/>
      <c r="P19" s="194"/>
      <c r="Q19" s="173">
        <f>(Q7+Q8+Q10+Q12)/N18</f>
        <v>49645.708333333336</v>
      </c>
      <c r="R19" s="194" t="s">
        <v>134</v>
      </c>
      <c r="S19" s="194"/>
      <c r="T19" s="194"/>
      <c r="U19" s="240">
        <f>U17/R18</f>
        <v>760.50738255033559</v>
      </c>
      <c r="V19" s="194"/>
      <c r="W19" s="194"/>
      <c r="X19" s="194"/>
      <c r="Y19" s="195"/>
    </row>
    <row r="20" spans="1:25" ht="16.5" x14ac:dyDescent="0.25">
      <c r="A20" s="433" t="s">
        <v>127</v>
      </c>
      <c r="B20" s="434"/>
      <c r="C20" s="434"/>
      <c r="D20" s="434"/>
      <c r="E20" s="434"/>
      <c r="F20" s="434"/>
      <c r="G20" s="434"/>
      <c r="H20" s="435"/>
      <c r="I20" s="250">
        <f>(I4+I5+I15+I16)/41.25</f>
        <v>927721.74545454548</v>
      </c>
      <c r="J20" s="194"/>
      <c r="K20" s="194"/>
      <c r="L20" s="194"/>
      <c r="M20" s="173">
        <f>(M4+M5+M16+M15)/F5</f>
        <v>222581.6484848485</v>
      </c>
      <c r="N20" s="194"/>
      <c r="O20" s="240"/>
      <c r="P20" s="194"/>
      <c r="Q20" s="173">
        <f>(Q4+Q5+Q13+Q15+Q16)/N5</f>
        <v>1012033.8333333334</v>
      </c>
      <c r="R20" s="194"/>
      <c r="S20" s="194"/>
      <c r="T20" s="194"/>
      <c r="U20" s="194"/>
      <c r="V20" s="194" t="s">
        <v>370</v>
      </c>
      <c r="W20" s="194"/>
      <c r="X20" s="194"/>
      <c r="Y20" s="195"/>
    </row>
    <row r="21" spans="1:25" ht="16.5" x14ac:dyDescent="0.25">
      <c r="A21" s="212"/>
      <c r="B21" s="212"/>
      <c r="C21" s="212"/>
      <c r="D21" s="212"/>
      <c r="E21" s="212"/>
      <c r="F21" s="212"/>
      <c r="G21" s="212"/>
      <c r="H21" s="212"/>
      <c r="I21" s="250"/>
      <c r="J21" s="212"/>
      <c r="K21" s="212"/>
      <c r="L21" s="212"/>
      <c r="M21" s="172"/>
      <c r="N21" s="212"/>
      <c r="O21" s="212"/>
      <c r="P21" s="212"/>
      <c r="Q21" s="172"/>
      <c r="R21" s="212"/>
      <c r="S21" s="212"/>
      <c r="T21" s="212"/>
      <c r="U21" s="212"/>
      <c r="V21" s="212"/>
      <c r="W21" s="212"/>
      <c r="X21" s="212"/>
      <c r="Y21" s="241"/>
    </row>
    <row r="22" spans="1:25" ht="16.5" x14ac:dyDescent="0.25">
      <c r="A22" s="433" t="s">
        <v>128</v>
      </c>
      <c r="B22" s="434"/>
      <c r="C22" s="434"/>
      <c r="D22" s="434"/>
      <c r="E22" s="434"/>
      <c r="F22" s="434"/>
      <c r="G22" s="434"/>
      <c r="H22" s="435"/>
      <c r="I22" s="250">
        <f>I17/338</f>
        <v>140596.44970414203</v>
      </c>
      <c r="J22" s="240"/>
      <c r="K22" s="240"/>
      <c r="L22" s="240"/>
      <c r="M22" s="173">
        <f>M17/J14</f>
        <v>143478.08219178082</v>
      </c>
      <c r="N22" s="240"/>
      <c r="O22" s="240"/>
      <c r="P22" s="194"/>
      <c r="Q22" s="172"/>
      <c r="R22" s="194"/>
      <c r="S22" s="194"/>
      <c r="T22" s="194"/>
      <c r="U22" s="194"/>
      <c r="V22" s="194"/>
      <c r="W22" s="194"/>
      <c r="X22" s="194"/>
      <c r="Y22" s="195"/>
    </row>
    <row r="23" spans="1:25" ht="16.5" x14ac:dyDescent="0.25">
      <c r="A23" s="212"/>
      <c r="B23" s="212"/>
      <c r="C23" s="212"/>
      <c r="D23" s="212"/>
      <c r="E23" s="212"/>
      <c r="F23" s="212"/>
      <c r="G23" s="212"/>
      <c r="H23" s="212"/>
      <c r="I23" s="250"/>
      <c r="J23" s="213"/>
      <c r="K23" s="213"/>
      <c r="L23" s="213"/>
      <c r="M23" s="173"/>
      <c r="N23" s="213"/>
      <c r="O23" s="213"/>
      <c r="P23" s="212"/>
      <c r="Q23" s="172"/>
      <c r="R23" s="212"/>
      <c r="S23" s="212"/>
      <c r="T23" s="212"/>
      <c r="U23" s="212"/>
      <c r="V23" s="212"/>
      <c r="W23" s="212"/>
      <c r="X23" s="212"/>
      <c r="Y23" s="241"/>
    </row>
    <row r="24" spans="1:25" ht="16.5" x14ac:dyDescent="0.25">
      <c r="A24" s="239"/>
      <c r="B24" s="194"/>
      <c r="C24" s="194"/>
      <c r="D24" s="194"/>
      <c r="E24" s="194"/>
      <c r="F24" s="194"/>
      <c r="G24" s="194"/>
      <c r="H24" s="194"/>
      <c r="I24" s="247">
        <f>I17-I14</f>
        <v>41188800</v>
      </c>
      <c r="J24" s="240"/>
      <c r="K24" s="240"/>
      <c r="L24" s="240"/>
      <c r="M24" s="247">
        <f>M17-M14</f>
        <v>10408900</v>
      </c>
      <c r="N24" s="240"/>
      <c r="O24" s="240"/>
      <c r="P24" s="194"/>
      <c r="Q24" s="247">
        <f>Q17-Q14</f>
        <v>7278700</v>
      </c>
      <c r="R24" s="194"/>
      <c r="S24" s="194"/>
      <c r="T24" s="194"/>
      <c r="U24" s="247">
        <f>U17-U14</f>
        <v>56407800</v>
      </c>
      <c r="V24" s="194"/>
      <c r="W24" s="194"/>
      <c r="X24" s="194"/>
      <c r="Y24" s="247">
        <f>Y17-Y14</f>
        <v>15610600</v>
      </c>
    </row>
    <row r="25" spans="1:25" ht="16.5" x14ac:dyDescent="0.25">
      <c r="A25" s="212"/>
      <c r="B25" s="212"/>
      <c r="C25" s="212"/>
      <c r="D25" s="212"/>
      <c r="E25" s="212"/>
      <c r="F25" s="212"/>
      <c r="G25" s="212"/>
      <c r="H25" s="212"/>
      <c r="I25" s="213"/>
      <c r="J25" s="212"/>
      <c r="K25" s="212" t="s">
        <v>343</v>
      </c>
      <c r="L25" s="212"/>
      <c r="M25" s="212"/>
    </row>
    <row r="26" spans="1:25" ht="16.5" hidden="1" x14ac:dyDescent="0.25">
      <c r="A26" s="212"/>
      <c r="B26" s="212"/>
      <c r="C26" s="212"/>
      <c r="D26" s="212"/>
      <c r="E26" s="212"/>
      <c r="F26" s="212"/>
      <c r="G26" s="212"/>
      <c r="H26" s="212"/>
      <c r="I26" s="213"/>
      <c r="J26" s="212"/>
      <c r="K26" s="212" t="s">
        <v>306</v>
      </c>
      <c r="L26" s="212"/>
      <c r="M26" s="212"/>
    </row>
    <row r="27" spans="1:25" ht="16.5" x14ac:dyDescent="0.25">
      <c r="A27" s="444" t="s">
        <v>301</v>
      </c>
      <c r="B27" s="444"/>
      <c r="C27" s="444"/>
      <c r="D27" s="444"/>
      <c r="E27" s="444"/>
      <c r="F27" s="444"/>
      <c r="G27" s="444"/>
      <c r="H27" s="444"/>
      <c r="I27" s="444"/>
      <c r="J27" s="444"/>
      <c r="K27" s="444"/>
      <c r="L27" s="444"/>
      <c r="M27" s="444"/>
      <c r="Q27" s="18">
        <f>I17+M17+Q17</f>
        <v>65344200</v>
      </c>
    </row>
    <row r="28" spans="1:25" ht="49.5" x14ac:dyDescent="0.25">
      <c r="A28" s="458" t="s">
        <v>319</v>
      </c>
      <c r="B28" s="459"/>
      <c r="C28" s="459"/>
      <c r="D28" s="459"/>
      <c r="E28" s="459"/>
      <c r="F28" s="459"/>
      <c r="G28" s="459"/>
      <c r="H28" s="459"/>
      <c r="I28" s="460"/>
      <c r="J28" s="207" t="s">
        <v>204</v>
      </c>
      <c r="K28" s="207" t="s">
        <v>205</v>
      </c>
      <c r="L28" s="201" t="s">
        <v>206</v>
      </c>
      <c r="M28" s="207" t="s">
        <v>183</v>
      </c>
      <c r="Q28" s="18">
        <f>I14+M14+Q14</f>
        <v>6467800</v>
      </c>
    </row>
    <row r="29" spans="1:25" ht="16.5" x14ac:dyDescent="0.25">
      <c r="A29" s="458" t="s">
        <v>258</v>
      </c>
      <c r="B29" s="459"/>
      <c r="C29" s="459"/>
      <c r="D29" s="459"/>
      <c r="E29" s="459"/>
      <c r="F29" s="459"/>
      <c r="G29" s="459"/>
      <c r="H29" s="459"/>
      <c r="I29" s="460"/>
      <c r="J29" s="204">
        <f>SUM(J30:J32)</f>
        <v>27127815.399999999</v>
      </c>
      <c r="K29" s="204">
        <f t="shared" ref="K29:L29" si="0">SUM(K30:K32)</f>
        <v>6406265.0999999996</v>
      </c>
      <c r="L29" s="204">
        <f t="shared" si="0"/>
        <v>4188914.8</v>
      </c>
      <c r="M29" s="204">
        <f>SUM(J29:L29)</f>
        <v>37722995.299999997</v>
      </c>
    </row>
    <row r="30" spans="1:25" ht="16.5" x14ac:dyDescent="0.25">
      <c r="A30" s="449" t="s">
        <v>178</v>
      </c>
      <c r="B30" s="450"/>
      <c r="C30" s="450"/>
      <c r="D30" s="450"/>
      <c r="E30" s="450"/>
      <c r="F30" s="450"/>
      <c r="G30" s="450"/>
      <c r="H30" s="450"/>
      <c r="I30" s="451"/>
      <c r="J30" s="168">
        <f>I15*70%</f>
        <v>26211515.399999999</v>
      </c>
      <c r="K30" s="168">
        <f>M15*70%</f>
        <v>6270665.0999999996</v>
      </c>
      <c r="L30" s="168">
        <f>Q15*70%</f>
        <v>4043314.8</v>
      </c>
      <c r="M30" s="172">
        <f t="shared" ref="M30:M42" si="1">SUM(J30:L30)</f>
        <v>36525495.299999997</v>
      </c>
      <c r="N30" s="31"/>
    </row>
    <row r="31" spans="1:25" ht="16.5" x14ac:dyDescent="0.25">
      <c r="A31" s="433" t="s">
        <v>176</v>
      </c>
      <c r="B31" s="434"/>
      <c r="C31" s="434"/>
      <c r="D31" s="434"/>
      <c r="E31" s="434"/>
      <c r="F31" s="434"/>
      <c r="G31" s="434"/>
      <c r="H31" s="434"/>
      <c r="I31" s="435"/>
      <c r="J31" s="168">
        <f>I11+I12</f>
        <v>250000</v>
      </c>
      <c r="K31" s="168">
        <f>M11+M12</f>
        <v>25000</v>
      </c>
      <c r="L31" s="168">
        <f>Q11+Q12</f>
        <v>35000</v>
      </c>
      <c r="M31" s="172">
        <f t="shared" si="1"/>
        <v>310000</v>
      </c>
      <c r="N31" s="31"/>
    </row>
    <row r="32" spans="1:25" ht="16.5" x14ac:dyDescent="0.25">
      <c r="A32" s="433" t="s">
        <v>175</v>
      </c>
      <c r="B32" s="434"/>
      <c r="C32" s="434"/>
      <c r="D32" s="434"/>
      <c r="E32" s="434"/>
      <c r="F32" s="434"/>
      <c r="G32" s="434"/>
      <c r="H32" s="434"/>
      <c r="I32" s="435"/>
      <c r="J32" s="168">
        <f>I4+I5</f>
        <v>666300</v>
      </c>
      <c r="K32" s="168">
        <f>M4+M5</f>
        <v>110600</v>
      </c>
      <c r="L32" s="168">
        <f>Q4+Q5</f>
        <v>110600</v>
      </c>
      <c r="M32" s="172">
        <f t="shared" si="1"/>
        <v>887500</v>
      </c>
    </row>
    <row r="33" spans="1:14" ht="16.5" x14ac:dyDescent="0.25">
      <c r="A33" s="452" t="s">
        <v>177</v>
      </c>
      <c r="B33" s="453"/>
      <c r="C33" s="453"/>
      <c r="D33" s="453"/>
      <c r="E33" s="453"/>
      <c r="F33" s="453"/>
      <c r="G33" s="453"/>
      <c r="H33" s="453"/>
      <c r="I33" s="454"/>
      <c r="J33" s="175">
        <f>J34+J35+J39+J41+J42</f>
        <v>14060984.600000001</v>
      </c>
      <c r="K33" s="175">
        <f t="shared" ref="K33" si="2">K34+K35+K39+K41+K42</f>
        <v>4002634.9</v>
      </c>
      <c r="L33" s="175">
        <f>L34+L35+L39+L41+L42</f>
        <v>3089785.2</v>
      </c>
      <c r="M33" s="204">
        <f t="shared" si="1"/>
        <v>21153404.699999999</v>
      </c>
    </row>
    <row r="34" spans="1:14" ht="16.5" x14ac:dyDescent="0.25">
      <c r="A34" s="449" t="s">
        <v>179</v>
      </c>
      <c r="B34" s="450"/>
      <c r="C34" s="450"/>
      <c r="D34" s="450"/>
      <c r="E34" s="450"/>
      <c r="F34" s="450"/>
      <c r="G34" s="450"/>
      <c r="H34" s="450"/>
      <c r="I34" s="451"/>
      <c r="J34" s="168">
        <f>I15-J30</f>
        <v>11233506.600000001</v>
      </c>
      <c r="K34" s="168">
        <f>M15*30%</f>
        <v>2687427.9</v>
      </c>
      <c r="L34" s="168">
        <f>Q15*30%</f>
        <v>1732849.2</v>
      </c>
      <c r="M34" s="172">
        <f t="shared" si="1"/>
        <v>15653783.700000001</v>
      </c>
    </row>
    <row r="35" spans="1:14" ht="16.5" x14ac:dyDescent="0.25">
      <c r="A35" s="433" t="s">
        <v>171</v>
      </c>
      <c r="B35" s="434"/>
      <c r="C35" s="434"/>
      <c r="D35" s="434"/>
      <c r="E35" s="434"/>
      <c r="F35" s="434"/>
      <c r="G35" s="434"/>
      <c r="H35" s="434"/>
      <c r="I35" s="435"/>
      <c r="J35" s="168">
        <f>SUM(J36:J38)</f>
        <v>976118.1</v>
      </c>
      <c r="K35" s="168">
        <f t="shared" ref="K35:L35" si="3">SUM(K36:K38)</f>
        <v>291632</v>
      </c>
      <c r="L35" s="168">
        <f t="shared" si="3"/>
        <v>547914.80000000005</v>
      </c>
      <c r="M35" s="172">
        <f t="shared" si="1"/>
        <v>1815664.9000000001</v>
      </c>
    </row>
    <row r="36" spans="1:14" ht="16.5" x14ac:dyDescent="0.25">
      <c r="A36" s="433" t="s">
        <v>172</v>
      </c>
      <c r="B36" s="434"/>
      <c r="C36" s="434"/>
      <c r="D36" s="434"/>
      <c r="E36" s="434"/>
      <c r="F36" s="434"/>
      <c r="G36" s="434"/>
      <c r="H36" s="434"/>
      <c r="I36" s="435"/>
      <c r="J36" s="168">
        <f>170414*90%</f>
        <v>153372.6</v>
      </c>
      <c r="K36" s="168">
        <f>107435*90%</f>
        <v>96691.5</v>
      </c>
      <c r="L36" s="168">
        <f>17782*90%</f>
        <v>16003.800000000001</v>
      </c>
      <c r="M36" s="172">
        <f t="shared" si="1"/>
        <v>266067.90000000002</v>
      </c>
    </row>
    <row r="37" spans="1:14" ht="16.5" x14ac:dyDescent="0.25">
      <c r="A37" s="433" t="s">
        <v>173</v>
      </c>
      <c r="B37" s="434"/>
      <c r="C37" s="434"/>
      <c r="D37" s="434"/>
      <c r="E37" s="434"/>
      <c r="F37" s="434"/>
      <c r="G37" s="434"/>
      <c r="H37" s="434"/>
      <c r="I37" s="435"/>
      <c r="J37" s="168">
        <f>1306833*50%</f>
        <v>653416.5</v>
      </c>
      <c r="K37" s="168">
        <f>348489*50%</f>
        <v>174244.5</v>
      </c>
      <c r="L37" s="168">
        <f>1055478*50%</f>
        <v>527739</v>
      </c>
      <c r="M37" s="172">
        <f t="shared" si="1"/>
        <v>1355400</v>
      </c>
    </row>
    <row r="38" spans="1:14" ht="16.5" x14ac:dyDescent="0.25">
      <c r="A38" s="433" t="s">
        <v>174</v>
      </c>
      <c r="B38" s="434"/>
      <c r="C38" s="434"/>
      <c r="D38" s="434"/>
      <c r="E38" s="434"/>
      <c r="F38" s="434"/>
      <c r="G38" s="434"/>
      <c r="H38" s="434"/>
      <c r="I38" s="435"/>
      <c r="J38" s="168">
        <f>75091+94238</f>
        <v>169329</v>
      </c>
      <c r="K38" s="168">
        <f>9178+11518</f>
        <v>20696</v>
      </c>
      <c r="L38" s="168">
        <v>4172</v>
      </c>
      <c r="M38" s="172">
        <f t="shared" si="1"/>
        <v>194197</v>
      </c>
    </row>
    <row r="39" spans="1:14" ht="16.5" x14ac:dyDescent="0.25">
      <c r="A39" s="433" t="s">
        <v>180</v>
      </c>
      <c r="B39" s="434"/>
      <c r="C39" s="434"/>
      <c r="D39" s="434"/>
      <c r="E39" s="434"/>
      <c r="F39" s="434"/>
      <c r="G39" s="434"/>
      <c r="H39" s="434"/>
      <c r="I39" s="435"/>
      <c r="J39" s="168">
        <f>I16</f>
        <v>157200</v>
      </c>
      <c r="K39" s="168">
        <f>M16</f>
        <v>112800</v>
      </c>
      <c r="L39" s="168">
        <f>Q16</f>
        <v>122000</v>
      </c>
      <c r="M39" s="172">
        <f t="shared" si="1"/>
        <v>392000</v>
      </c>
    </row>
    <row r="40" spans="1:14" ht="16.5" x14ac:dyDescent="0.25">
      <c r="A40" s="433" t="s">
        <v>181</v>
      </c>
      <c r="B40" s="434"/>
      <c r="C40" s="434"/>
      <c r="D40" s="434"/>
      <c r="E40" s="434"/>
      <c r="F40" s="434"/>
      <c r="G40" s="434"/>
      <c r="H40" s="434"/>
      <c r="I40" s="435"/>
      <c r="J40" s="168"/>
      <c r="K40" s="168"/>
      <c r="L40" s="168"/>
      <c r="M40" s="172">
        <f t="shared" si="1"/>
        <v>0</v>
      </c>
    </row>
    <row r="41" spans="1:14" ht="16.5" x14ac:dyDescent="0.25">
      <c r="A41" s="464" t="s">
        <v>182</v>
      </c>
      <c r="B41" s="465"/>
      <c r="C41" s="465"/>
      <c r="D41" s="465"/>
      <c r="E41" s="465"/>
      <c r="F41" s="465"/>
      <c r="G41" s="465"/>
      <c r="H41" s="465"/>
      <c r="I41" s="466"/>
      <c r="J41" s="168">
        <f>I8</f>
        <v>533420</v>
      </c>
      <c r="K41" s="168">
        <f>M8</f>
        <v>137084</v>
      </c>
      <c r="L41" s="168">
        <f>Q8</f>
        <v>65000</v>
      </c>
      <c r="M41" s="172">
        <f t="shared" si="1"/>
        <v>735504</v>
      </c>
    </row>
    <row r="42" spans="1:14" ht="16.5" x14ac:dyDescent="0.25">
      <c r="A42" s="433" t="s">
        <v>175</v>
      </c>
      <c r="B42" s="434"/>
      <c r="C42" s="434"/>
      <c r="D42" s="434"/>
      <c r="E42" s="434"/>
      <c r="F42" s="434"/>
      <c r="G42" s="434"/>
      <c r="H42" s="434"/>
      <c r="I42" s="435"/>
      <c r="J42" s="168">
        <f>I10+I7-J35+I13</f>
        <v>1160739.8999999999</v>
      </c>
      <c r="K42" s="168">
        <f>M10+M7+M13-K35</f>
        <v>773691</v>
      </c>
      <c r="L42" s="168">
        <f>Q10+Q7+Q13-L35</f>
        <v>622021.19999999995</v>
      </c>
      <c r="M42" s="172">
        <f t="shared" si="1"/>
        <v>2556452.0999999996</v>
      </c>
    </row>
    <row r="43" spans="1:14" ht="16.5" x14ac:dyDescent="0.25">
      <c r="A43" s="452" t="s">
        <v>183</v>
      </c>
      <c r="B43" s="453"/>
      <c r="C43" s="453"/>
      <c r="D43" s="453"/>
      <c r="E43" s="453"/>
      <c r="F43" s="453"/>
      <c r="G43" s="453"/>
      <c r="H43" s="453"/>
      <c r="I43" s="454"/>
      <c r="J43" s="227">
        <f>J29+J33</f>
        <v>41188800</v>
      </c>
      <c r="K43" s="227">
        <f>K29+K33</f>
        <v>10408900</v>
      </c>
      <c r="L43" s="227">
        <f>L29+L33</f>
        <v>7278700</v>
      </c>
      <c r="M43" s="227">
        <f>SUM(H43:L43)</f>
        <v>58876400</v>
      </c>
      <c r="N43" s="252"/>
    </row>
    <row r="44" spans="1:14" ht="16.5" x14ac:dyDescent="0.25">
      <c r="A44" s="433" t="s">
        <v>209</v>
      </c>
      <c r="B44" s="434"/>
      <c r="C44" s="434"/>
      <c r="D44" s="434"/>
      <c r="E44" s="434"/>
      <c r="F44" s="434"/>
      <c r="G44" s="434"/>
      <c r="H44" s="434"/>
      <c r="I44" s="435"/>
      <c r="J44" s="168">
        <f>J43/338</f>
        <v>121860.3550295858</v>
      </c>
      <c r="K44" s="168">
        <f>K43/73</f>
        <v>142587.67123287672</v>
      </c>
      <c r="L44" s="168">
        <f>L43/24</f>
        <v>303279.16666666669</v>
      </c>
      <c r="M44" s="172"/>
    </row>
    <row r="45" spans="1:14" x14ac:dyDescent="0.25">
      <c r="N45" s="31"/>
    </row>
    <row r="48" spans="1:14" ht="16.5" x14ac:dyDescent="0.25">
      <c r="K48" s="212" t="s">
        <v>349</v>
      </c>
    </row>
    <row r="49" spans="1:12" ht="16.5" x14ac:dyDescent="0.25">
      <c r="A49" s="444" t="s">
        <v>303</v>
      </c>
      <c r="B49" s="444"/>
      <c r="C49" s="444"/>
      <c r="D49" s="444"/>
      <c r="E49" s="444"/>
      <c r="F49" s="444"/>
      <c r="G49" s="444"/>
      <c r="H49" s="444"/>
      <c r="I49" s="444"/>
      <c r="J49" s="444"/>
      <c r="K49" s="444"/>
    </row>
    <row r="50" spans="1:12" ht="51" customHeight="1" x14ac:dyDescent="0.25">
      <c r="A50" s="458" t="s">
        <v>319</v>
      </c>
      <c r="B50" s="459"/>
      <c r="C50" s="459"/>
      <c r="D50" s="459"/>
      <c r="E50" s="459"/>
      <c r="F50" s="459"/>
      <c r="G50" s="459"/>
      <c r="H50" s="459"/>
      <c r="I50" s="460"/>
      <c r="J50" s="495" t="s">
        <v>302</v>
      </c>
      <c r="K50" s="495"/>
    </row>
    <row r="51" spans="1:12" ht="16.5" x14ac:dyDescent="0.25">
      <c r="A51" s="458" t="s">
        <v>258</v>
      </c>
      <c r="B51" s="459"/>
      <c r="C51" s="459"/>
      <c r="D51" s="459"/>
      <c r="E51" s="459"/>
      <c r="F51" s="459"/>
      <c r="G51" s="459"/>
      <c r="H51" s="459"/>
      <c r="I51" s="460"/>
      <c r="J51" s="444">
        <f>SUM(J52:J54)</f>
        <v>27594088.800000001</v>
      </c>
      <c r="K51" s="444"/>
    </row>
    <row r="52" spans="1:12" ht="18.75" customHeight="1" x14ac:dyDescent="0.25">
      <c r="A52" s="449" t="s">
        <v>178</v>
      </c>
      <c r="B52" s="450"/>
      <c r="C52" s="450"/>
      <c r="D52" s="450"/>
      <c r="E52" s="450"/>
      <c r="F52" s="450"/>
      <c r="G52" s="450"/>
      <c r="H52" s="450"/>
      <c r="I52" s="451"/>
      <c r="J52" s="508">
        <f>U15*55%</f>
        <v>26481188.800000001</v>
      </c>
      <c r="K52" s="508"/>
      <c r="L52" s="31"/>
    </row>
    <row r="53" spans="1:12" ht="16.5" x14ac:dyDescent="0.25">
      <c r="A53" s="433" t="s">
        <v>176</v>
      </c>
      <c r="B53" s="434"/>
      <c r="C53" s="434"/>
      <c r="D53" s="434"/>
      <c r="E53" s="434"/>
      <c r="F53" s="434"/>
      <c r="G53" s="434"/>
      <c r="H53" s="434"/>
      <c r="I53" s="435"/>
      <c r="J53" s="508">
        <f>U11+U12</f>
        <v>187000</v>
      </c>
      <c r="K53" s="508"/>
    </row>
    <row r="54" spans="1:12" ht="16.5" x14ac:dyDescent="0.25">
      <c r="A54" s="433" t="s">
        <v>175</v>
      </c>
      <c r="B54" s="434"/>
      <c r="C54" s="434"/>
      <c r="D54" s="434"/>
      <c r="E54" s="434"/>
      <c r="F54" s="434"/>
      <c r="G54" s="434"/>
      <c r="H54" s="434"/>
      <c r="I54" s="435"/>
      <c r="J54" s="508">
        <f>U4+U5</f>
        <v>925900</v>
      </c>
      <c r="K54" s="508"/>
    </row>
    <row r="55" spans="1:12" ht="16.5" x14ac:dyDescent="0.25">
      <c r="A55" s="452" t="s">
        <v>177</v>
      </c>
      <c r="B55" s="453"/>
      <c r="C55" s="453"/>
      <c r="D55" s="453"/>
      <c r="E55" s="453"/>
      <c r="F55" s="453"/>
      <c r="G55" s="453"/>
      <c r="H55" s="453"/>
      <c r="I55" s="454"/>
      <c r="J55" s="502">
        <f>J56+J57+J61+J63+J64</f>
        <v>28813711.199999999</v>
      </c>
      <c r="K55" s="502"/>
    </row>
    <row r="56" spans="1:12" ht="36" customHeight="1" x14ac:dyDescent="0.25">
      <c r="A56" s="449" t="s">
        <v>179</v>
      </c>
      <c r="B56" s="450"/>
      <c r="C56" s="450"/>
      <c r="D56" s="450"/>
      <c r="E56" s="450"/>
      <c r="F56" s="450"/>
      <c r="G56" s="450"/>
      <c r="H56" s="450"/>
      <c r="I56" s="451"/>
      <c r="J56" s="508">
        <f>U15*45%</f>
        <v>21666427.199999999</v>
      </c>
      <c r="K56" s="508"/>
    </row>
    <row r="57" spans="1:12" ht="16.5" x14ac:dyDescent="0.25">
      <c r="A57" s="433" t="s">
        <v>171</v>
      </c>
      <c r="B57" s="434"/>
      <c r="C57" s="434"/>
      <c r="D57" s="434"/>
      <c r="E57" s="434"/>
      <c r="F57" s="434"/>
      <c r="G57" s="434"/>
      <c r="H57" s="434"/>
      <c r="I57" s="435"/>
      <c r="J57" s="508">
        <f>J58+J59+J60</f>
        <v>1764591</v>
      </c>
      <c r="K57" s="508"/>
    </row>
    <row r="58" spans="1:12" ht="16.5" x14ac:dyDescent="0.25">
      <c r="A58" s="433" t="s">
        <v>172</v>
      </c>
      <c r="B58" s="434"/>
      <c r="C58" s="434"/>
      <c r="D58" s="434"/>
      <c r="E58" s="434"/>
      <c r="F58" s="434"/>
      <c r="G58" s="434"/>
      <c r="H58" s="434"/>
      <c r="I58" s="435"/>
      <c r="J58" s="508">
        <f>191900*90%</f>
        <v>172710</v>
      </c>
      <c r="K58" s="508"/>
    </row>
    <row r="59" spans="1:12" ht="16.5" x14ac:dyDescent="0.25">
      <c r="A59" s="433" t="s">
        <v>173</v>
      </c>
      <c r="B59" s="434"/>
      <c r="C59" s="434"/>
      <c r="D59" s="434"/>
      <c r="E59" s="434"/>
      <c r="F59" s="434"/>
      <c r="G59" s="434"/>
      <c r="H59" s="434"/>
      <c r="I59" s="435"/>
      <c r="J59" s="508">
        <f>3171558*50%</f>
        <v>1585779</v>
      </c>
      <c r="K59" s="508"/>
    </row>
    <row r="60" spans="1:12" ht="16.5" x14ac:dyDescent="0.25">
      <c r="A60" s="433" t="s">
        <v>174</v>
      </c>
      <c r="B60" s="434"/>
      <c r="C60" s="434"/>
      <c r="D60" s="434"/>
      <c r="E60" s="434"/>
      <c r="F60" s="434"/>
      <c r="G60" s="434"/>
      <c r="H60" s="434"/>
      <c r="I60" s="435"/>
      <c r="J60" s="508">
        <f>3170+2932</f>
        <v>6102</v>
      </c>
      <c r="K60" s="508"/>
    </row>
    <row r="61" spans="1:12" ht="16.5" x14ac:dyDescent="0.25">
      <c r="A61" s="433" t="s">
        <v>180</v>
      </c>
      <c r="B61" s="434"/>
      <c r="C61" s="434"/>
      <c r="D61" s="434"/>
      <c r="E61" s="434"/>
      <c r="F61" s="434"/>
      <c r="G61" s="434"/>
      <c r="H61" s="434"/>
      <c r="I61" s="435"/>
      <c r="J61" s="508">
        <f>U16</f>
        <v>967200</v>
      </c>
      <c r="K61" s="508"/>
    </row>
    <row r="62" spans="1:12" ht="16.5" x14ac:dyDescent="0.25">
      <c r="A62" s="433" t="s">
        <v>181</v>
      </c>
      <c r="B62" s="434"/>
      <c r="C62" s="434"/>
      <c r="D62" s="434"/>
      <c r="E62" s="434"/>
      <c r="F62" s="434"/>
      <c r="G62" s="434"/>
      <c r="H62" s="434"/>
      <c r="I62" s="435"/>
      <c r="J62" s="508">
        <f>M40</f>
        <v>0</v>
      </c>
      <c r="K62" s="508"/>
    </row>
    <row r="63" spans="1:12" ht="16.5" x14ac:dyDescent="0.25">
      <c r="A63" s="464" t="s">
        <v>182</v>
      </c>
      <c r="B63" s="465"/>
      <c r="C63" s="465"/>
      <c r="D63" s="465"/>
      <c r="E63" s="465"/>
      <c r="F63" s="465"/>
      <c r="G63" s="465"/>
      <c r="H63" s="465"/>
      <c r="I63" s="466"/>
      <c r="J63" s="508">
        <f>U8</f>
        <v>1509300</v>
      </c>
      <c r="K63" s="508"/>
    </row>
    <row r="64" spans="1:12" ht="16.5" x14ac:dyDescent="0.25">
      <c r="A64" s="433" t="s">
        <v>175</v>
      </c>
      <c r="B64" s="434"/>
      <c r="C64" s="434"/>
      <c r="D64" s="434"/>
      <c r="E64" s="434"/>
      <c r="F64" s="434"/>
      <c r="G64" s="434"/>
      <c r="H64" s="434"/>
      <c r="I64" s="435"/>
      <c r="J64" s="508">
        <f>U10+U13+U7-J57</f>
        <v>2906193</v>
      </c>
      <c r="K64" s="508"/>
    </row>
    <row r="65" spans="1:12" ht="16.5" x14ac:dyDescent="0.25">
      <c r="A65" s="452" t="s">
        <v>183</v>
      </c>
      <c r="B65" s="453"/>
      <c r="C65" s="453"/>
      <c r="D65" s="453"/>
      <c r="E65" s="453"/>
      <c r="F65" s="453"/>
      <c r="G65" s="453"/>
      <c r="H65" s="453"/>
      <c r="I65" s="454"/>
      <c r="J65" s="509">
        <f>J51+J55</f>
        <v>56407800</v>
      </c>
      <c r="K65" s="509"/>
      <c r="L65" s="31"/>
    </row>
    <row r="66" spans="1:12" ht="16.5" x14ac:dyDescent="0.25">
      <c r="A66" s="433" t="s">
        <v>210</v>
      </c>
      <c r="B66" s="434"/>
      <c r="C66" s="434"/>
      <c r="D66" s="434"/>
      <c r="E66" s="434"/>
      <c r="F66" s="434"/>
      <c r="G66" s="434"/>
      <c r="H66" s="434"/>
      <c r="I66" s="435"/>
      <c r="J66" s="498">
        <f>J65/R18</f>
        <v>757.15167785234894</v>
      </c>
      <c r="K66" s="499"/>
    </row>
    <row r="70" spans="1:12" ht="16.5" x14ac:dyDescent="0.25">
      <c r="K70" s="169" t="s">
        <v>350</v>
      </c>
    </row>
    <row r="71" spans="1:12" ht="16.5" x14ac:dyDescent="0.25">
      <c r="A71" s="458" t="s">
        <v>305</v>
      </c>
      <c r="B71" s="459"/>
      <c r="C71" s="459"/>
      <c r="D71" s="459"/>
      <c r="E71" s="459"/>
      <c r="F71" s="459"/>
      <c r="G71" s="459"/>
      <c r="H71" s="459"/>
      <c r="I71" s="459"/>
      <c r="J71" s="459"/>
      <c r="K71" s="460"/>
    </row>
    <row r="72" spans="1:12" ht="46.5" customHeight="1" x14ac:dyDescent="0.25">
      <c r="A72" s="458" t="s">
        <v>319</v>
      </c>
      <c r="B72" s="459"/>
      <c r="C72" s="459"/>
      <c r="D72" s="459"/>
      <c r="E72" s="459"/>
      <c r="F72" s="459"/>
      <c r="G72" s="459"/>
      <c r="H72" s="459"/>
      <c r="I72" s="460"/>
      <c r="J72" s="469" t="s">
        <v>304</v>
      </c>
      <c r="K72" s="471"/>
    </row>
    <row r="73" spans="1:12" ht="16.5" x14ac:dyDescent="0.25">
      <c r="A73" s="458" t="s">
        <v>258</v>
      </c>
      <c r="B73" s="459"/>
      <c r="C73" s="459"/>
      <c r="D73" s="459"/>
      <c r="E73" s="459"/>
      <c r="F73" s="459"/>
      <c r="G73" s="459"/>
      <c r="H73" s="459"/>
      <c r="I73" s="460"/>
      <c r="J73" s="458">
        <f>SUM(J74:J76)</f>
        <v>7055697</v>
      </c>
      <c r="K73" s="460"/>
    </row>
    <row r="74" spans="1:12" ht="16.5" customHeight="1" x14ac:dyDescent="0.25">
      <c r="A74" s="449" t="s">
        <v>178</v>
      </c>
      <c r="B74" s="450"/>
      <c r="C74" s="450"/>
      <c r="D74" s="450"/>
      <c r="E74" s="450"/>
      <c r="F74" s="450"/>
      <c r="G74" s="450"/>
      <c r="H74" s="450"/>
      <c r="I74" s="451"/>
      <c r="J74" s="498">
        <f>Y15*50%</f>
        <v>6912847</v>
      </c>
      <c r="K74" s="499"/>
    </row>
    <row r="75" spans="1:12" ht="16.5" x14ac:dyDescent="0.25">
      <c r="A75" s="433" t="s">
        <v>176</v>
      </c>
      <c r="B75" s="434"/>
      <c r="C75" s="434"/>
      <c r="D75" s="434"/>
      <c r="E75" s="434"/>
      <c r="F75" s="434"/>
      <c r="G75" s="434"/>
      <c r="H75" s="434"/>
      <c r="I75" s="435"/>
      <c r="J75" s="498">
        <f>Y11+Y12</f>
        <v>18500</v>
      </c>
      <c r="K75" s="499"/>
    </row>
    <row r="76" spans="1:12" ht="16.5" x14ac:dyDescent="0.25">
      <c r="A76" s="433" t="s">
        <v>175</v>
      </c>
      <c r="B76" s="434"/>
      <c r="C76" s="434"/>
      <c r="D76" s="434"/>
      <c r="E76" s="434"/>
      <c r="F76" s="434"/>
      <c r="G76" s="434"/>
      <c r="H76" s="434"/>
      <c r="I76" s="435"/>
      <c r="J76" s="498">
        <f>Y4+Y5</f>
        <v>124350</v>
      </c>
      <c r="K76" s="499"/>
    </row>
    <row r="77" spans="1:12" ht="16.5" x14ac:dyDescent="0.25">
      <c r="A77" s="452" t="s">
        <v>177</v>
      </c>
      <c r="B77" s="453"/>
      <c r="C77" s="453"/>
      <c r="D77" s="453"/>
      <c r="E77" s="453"/>
      <c r="F77" s="453"/>
      <c r="G77" s="453"/>
      <c r="H77" s="453"/>
      <c r="I77" s="454"/>
      <c r="J77" s="500">
        <f>J78+J79+J83+J84+J85+J86</f>
        <v>8554903</v>
      </c>
      <c r="K77" s="501"/>
    </row>
    <row r="78" spans="1:12" ht="16.5" customHeight="1" x14ac:dyDescent="0.25">
      <c r="A78" s="449" t="s">
        <v>179</v>
      </c>
      <c r="B78" s="450"/>
      <c r="C78" s="450"/>
      <c r="D78" s="450"/>
      <c r="E78" s="450"/>
      <c r="F78" s="450"/>
      <c r="G78" s="450"/>
      <c r="H78" s="450"/>
      <c r="I78" s="451"/>
      <c r="J78" s="498">
        <f>Y15*50%</f>
        <v>6912847</v>
      </c>
      <c r="K78" s="499"/>
    </row>
    <row r="79" spans="1:12" ht="16.5" x14ac:dyDescent="0.25">
      <c r="A79" s="433" t="s">
        <v>171</v>
      </c>
      <c r="B79" s="434"/>
      <c r="C79" s="434"/>
      <c r="D79" s="434"/>
      <c r="E79" s="434"/>
      <c r="F79" s="434"/>
      <c r="G79" s="434"/>
      <c r="H79" s="434"/>
      <c r="I79" s="435"/>
      <c r="J79" s="498">
        <f>SUM(J80:K82)</f>
        <v>554739.9</v>
      </c>
      <c r="K79" s="499"/>
    </row>
    <row r="80" spans="1:12" ht="16.5" x14ac:dyDescent="0.25">
      <c r="A80" s="433" t="s">
        <v>172</v>
      </c>
      <c r="B80" s="434"/>
      <c r="C80" s="434"/>
      <c r="D80" s="434"/>
      <c r="E80" s="434"/>
      <c r="F80" s="434"/>
      <c r="G80" s="434"/>
      <c r="H80" s="434"/>
      <c r="I80" s="435"/>
      <c r="J80" s="498">
        <f>92571*90%</f>
        <v>83313.900000000009</v>
      </c>
      <c r="K80" s="499"/>
    </row>
    <row r="81" spans="1:15" ht="16.5" x14ac:dyDescent="0.25">
      <c r="A81" s="433" t="s">
        <v>173</v>
      </c>
      <c r="B81" s="434"/>
      <c r="C81" s="434"/>
      <c r="D81" s="434"/>
      <c r="E81" s="434"/>
      <c r="F81" s="434"/>
      <c r="G81" s="434"/>
      <c r="H81" s="434"/>
      <c r="I81" s="435"/>
      <c r="J81" s="498">
        <f>914484*50%</f>
        <v>457242</v>
      </c>
      <c r="K81" s="499"/>
    </row>
    <row r="82" spans="1:15" ht="16.5" x14ac:dyDescent="0.25">
      <c r="A82" s="433" t="s">
        <v>174</v>
      </c>
      <c r="B82" s="434"/>
      <c r="C82" s="434"/>
      <c r="D82" s="434"/>
      <c r="E82" s="434"/>
      <c r="F82" s="434"/>
      <c r="G82" s="434"/>
      <c r="H82" s="434"/>
      <c r="I82" s="435"/>
      <c r="J82" s="498">
        <f>14184</f>
        <v>14184</v>
      </c>
      <c r="K82" s="499"/>
    </row>
    <row r="83" spans="1:15" ht="16.5" x14ac:dyDescent="0.25">
      <c r="A83" s="433" t="s">
        <v>180</v>
      </c>
      <c r="B83" s="434"/>
      <c r="C83" s="434"/>
      <c r="D83" s="434"/>
      <c r="E83" s="434"/>
      <c r="F83" s="434"/>
      <c r="G83" s="434"/>
      <c r="H83" s="434"/>
      <c r="I83" s="435"/>
      <c r="J83" s="498">
        <f>Y16</f>
        <v>104400</v>
      </c>
      <c r="K83" s="499"/>
    </row>
    <row r="84" spans="1:15" ht="16.5" x14ac:dyDescent="0.25">
      <c r="A84" s="433" t="s">
        <v>181</v>
      </c>
      <c r="B84" s="434"/>
      <c r="C84" s="434"/>
      <c r="D84" s="434"/>
      <c r="E84" s="434"/>
      <c r="F84" s="434"/>
      <c r="G84" s="434"/>
      <c r="H84" s="434"/>
      <c r="I84" s="435"/>
      <c r="J84" s="498">
        <f t="shared" ref="J84" si="4">M61</f>
        <v>0</v>
      </c>
      <c r="K84" s="499"/>
    </row>
    <row r="85" spans="1:15" ht="16.5" customHeight="1" x14ac:dyDescent="0.25">
      <c r="A85" s="449" t="s">
        <v>182</v>
      </c>
      <c r="B85" s="450"/>
      <c r="C85" s="450"/>
      <c r="D85" s="450"/>
      <c r="E85" s="450"/>
      <c r="F85" s="450"/>
      <c r="G85" s="450"/>
      <c r="H85" s="450"/>
      <c r="I85" s="451"/>
      <c r="J85" s="498">
        <f>Y8</f>
        <v>295000</v>
      </c>
      <c r="K85" s="499"/>
    </row>
    <row r="86" spans="1:15" ht="16.5" x14ac:dyDescent="0.25">
      <c r="A86" s="433" t="s">
        <v>175</v>
      </c>
      <c r="B86" s="434"/>
      <c r="C86" s="434"/>
      <c r="D86" s="434"/>
      <c r="E86" s="434"/>
      <c r="F86" s="434"/>
      <c r="G86" s="434"/>
      <c r="H86" s="434"/>
      <c r="I86" s="435"/>
      <c r="J86" s="498">
        <f>Y10+Y7+Y13-J79</f>
        <v>687916.1</v>
      </c>
      <c r="K86" s="499"/>
    </row>
    <row r="87" spans="1:15" ht="16.5" x14ac:dyDescent="0.25">
      <c r="A87" s="452" t="s">
        <v>183</v>
      </c>
      <c r="B87" s="453"/>
      <c r="C87" s="453"/>
      <c r="D87" s="453"/>
      <c r="E87" s="453"/>
      <c r="F87" s="453"/>
      <c r="G87" s="453"/>
      <c r="H87" s="453"/>
      <c r="I87" s="454"/>
      <c r="J87" s="505">
        <f>J73+J77</f>
        <v>15610600</v>
      </c>
      <c r="K87" s="506"/>
    </row>
    <row r="88" spans="1:15" ht="16.5" x14ac:dyDescent="0.25">
      <c r="A88" s="433" t="s">
        <v>230</v>
      </c>
      <c r="B88" s="434"/>
      <c r="C88" s="434"/>
      <c r="D88" s="434"/>
      <c r="E88" s="434"/>
      <c r="F88" s="434"/>
      <c r="G88" s="434"/>
      <c r="H88" s="434"/>
      <c r="I88" s="435"/>
      <c r="J88" s="503">
        <f>J87/9836</f>
        <v>1587.0882472549818</v>
      </c>
      <c r="K88" s="504"/>
    </row>
    <row r="89" spans="1:15" ht="18.75" customHeight="1" x14ac:dyDescent="0.25">
      <c r="A89" s="212"/>
      <c r="B89" s="212"/>
      <c r="C89" s="212"/>
      <c r="D89" s="212"/>
      <c r="E89" s="212"/>
      <c r="G89" s="212"/>
      <c r="H89" s="212"/>
      <c r="I89" s="212"/>
      <c r="J89" s="212"/>
      <c r="K89" s="212"/>
    </row>
    <row r="90" spans="1:15" ht="16.5" x14ac:dyDescent="0.25">
      <c r="K90" s="169" t="s">
        <v>344</v>
      </c>
    </row>
    <row r="91" spans="1:15" ht="16.5" x14ac:dyDescent="0.25">
      <c r="A91" s="507" t="s">
        <v>318</v>
      </c>
      <c r="B91" s="507"/>
      <c r="C91" s="507"/>
      <c r="D91" s="507"/>
      <c r="E91" s="507"/>
      <c r="F91" s="507"/>
      <c r="G91" s="507"/>
      <c r="H91" s="507"/>
      <c r="I91" s="507"/>
    </row>
    <row r="92" spans="1:15" ht="49.5" x14ac:dyDescent="0.25">
      <c r="A92" s="458" t="s">
        <v>319</v>
      </c>
      <c r="B92" s="459"/>
      <c r="C92" s="459"/>
      <c r="D92" s="459"/>
      <c r="E92" s="459"/>
      <c r="F92" s="459"/>
      <c r="G92" s="459"/>
      <c r="H92" s="459"/>
      <c r="I92" s="460"/>
      <c r="J92" s="207" t="s">
        <v>204</v>
      </c>
      <c r="K92" s="207" t="s">
        <v>205</v>
      </c>
      <c r="L92" s="201" t="s">
        <v>206</v>
      </c>
      <c r="M92" s="207" t="s">
        <v>316</v>
      </c>
      <c r="N92" s="207" t="s">
        <v>317</v>
      </c>
      <c r="O92" s="217" t="s">
        <v>110</v>
      </c>
    </row>
    <row r="93" spans="1:15" ht="16.5" x14ac:dyDescent="0.25">
      <c r="A93" s="458" t="s">
        <v>258</v>
      </c>
      <c r="B93" s="459"/>
      <c r="C93" s="459"/>
      <c r="D93" s="459"/>
      <c r="E93" s="459"/>
      <c r="F93" s="459"/>
      <c r="G93" s="459"/>
      <c r="H93" s="459"/>
      <c r="I93" s="460"/>
      <c r="J93" s="204">
        <f>SUM(J94:J96)</f>
        <v>6332800</v>
      </c>
      <c r="K93" s="204">
        <f t="shared" ref="K93:N93" si="5">SUM(K94:K96)</f>
        <v>65000</v>
      </c>
      <c r="L93" s="204">
        <f t="shared" si="5"/>
        <v>70000</v>
      </c>
      <c r="M93" s="204">
        <f t="shared" si="5"/>
        <v>250000</v>
      </c>
      <c r="N93" s="204">
        <f t="shared" si="5"/>
        <v>35000</v>
      </c>
      <c r="O93" s="204">
        <f>SUM(J93:N93)</f>
        <v>6752800</v>
      </c>
    </row>
    <row r="94" spans="1:15" ht="16.5" x14ac:dyDescent="0.25">
      <c r="A94" s="449" t="s">
        <v>178</v>
      </c>
      <c r="B94" s="450"/>
      <c r="C94" s="450"/>
      <c r="D94" s="450"/>
      <c r="E94" s="450"/>
      <c r="F94" s="450"/>
      <c r="G94" s="450"/>
      <c r="H94" s="450"/>
      <c r="I94" s="451"/>
      <c r="J94" s="168"/>
      <c r="K94" s="168"/>
      <c r="L94" s="168"/>
      <c r="M94" s="172"/>
      <c r="N94" s="172"/>
      <c r="O94" s="172"/>
    </row>
    <row r="95" spans="1:15" ht="16.5" x14ac:dyDescent="0.25">
      <c r="A95" s="433" t="s">
        <v>176</v>
      </c>
      <c r="B95" s="434"/>
      <c r="C95" s="434"/>
      <c r="D95" s="434"/>
      <c r="E95" s="434"/>
      <c r="F95" s="434"/>
      <c r="G95" s="434"/>
      <c r="H95" s="434"/>
      <c r="I95" s="435"/>
      <c r="J95" s="168"/>
      <c r="K95" s="168"/>
      <c r="L95" s="168"/>
      <c r="M95" s="172"/>
      <c r="N95" s="172"/>
      <c r="O95" s="172"/>
    </row>
    <row r="96" spans="1:15" ht="16.5" x14ac:dyDescent="0.25">
      <c r="A96" s="433" t="s">
        <v>175</v>
      </c>
      <c r="B96" s="434"/>
      <c r="C96" s="434"/>
      <c r="D96" s="434"/>
      <c r="E96" s="434"/>
      <c r="F96" s="434"/>
      <c r="G96" s="434"/>
      <c r="H96" s="434"/>
      <c r="I96" s="435"/>
      <c r="J96" s="168">
        <f>I14</f>
        <v>6332800</v>
      </c>
      <c r="K96" s="168">
        <f>M14</f>
        <v>65000</v>
      </c>
      <c r="L96" s="168">
        <f>Q14</f>
        <v>70000</v>
      </c>
      <c r="M96" s="172">
        <f>U14</f>
        <v>250000</v>
      </c>
      <c r="N96" s="172">
        <f>Y14</f>
        <v>35000</v>
      </c>
      <c r="O96" s="168">
        <f>SUM(J96:N96)</f>
        <v>6752800</v>
      </c>
    </row>
    <row r="97" spans="1:15" ht="16.5" x14ac:dyDescent="0.25">
      <c r="A97" s="452" t="s">
        <v>177</v>
      </c>
      <c r="B97" s="453"/>
      <c r="C97" s="453"/>
      <c r="D97" s="453"/>
      <c r="E97" s="453"/>
      <c r="F97" s="453"/>
      <c r="G97" s="453"/>
      <c r="H97" s="453"/>
      <c r="I97" s="454"/>
      <c r="J97" s="168"/>
      <c r="K97" s="168"/>
      <c r="L97" s="168"/>
      <c r="M97" s="172"/>
      <c r="N97" s="172"/>
      <c r="O97" s="172"/>
    </row>
    <row r="98" spans="1:15" ht="16.5" x14ac:dyDescent="0.25">
      <c r="A98" s="449" t="s">
        <v>179</v>
      </c>
      <c r="B98" s="450"/>
      <c r="C98" s="450"/>
      <c r="D98" s="450"/>
      <c r="E98" s="450"/>
      <c r="F98" s="450"/>
      <c r="G98" s="450"/>
      <c r="H98" s="450"/>
      <c r="I98" s="451"/>
      <c r="J98" s="168"/>
      <c r="K98" s="168"/>
      <c r="L98" s="168"/>
      <c r="M98" s="172"/>
      <c r="N98" s="172"/>
      <c r="O98" s="172"/>
    </row>
    <row r="99" spans="1:15" ht="16.5" x14ac:dyDescent="0.25">
      <c r="A99" s="433" t="s">
        <v>171</v>
      </c>
      <c r="B99" s="434"/>
      <c r="C99" s="434"/>
      <c r="D99" s="434"/>
      <c r="E99" s="434"/>
      <c r="F99" s="434"/>
      <c r="G99" s="434"/>
      <c r="H99" s="434"/>
      <c r="I99" s="435"/>
      <c r="J99" s="168"/>
      <c r="K99" s="168"/>
      <c r="L99" s="168"/>
      <c r="M99" s="172"/>
      <c r="N99" s="172"/>
      <c r="O99" s="172"/>
    </row>
    <row r="100" spans="1:15" ht="16.5" x14ac:dyDescent="0.25">
      <c r="A100" s="433" t="s">
        <v>172</v>
      </c>
      <c r="B100" s="434"/>
      <c r="C100" s="434"/>
      <c r="D100" s="434"/>
      <c r="E100" s="434"/>
      <c r="F100" s="434"/>
      <c r="G100" s="434"/>
      <c r="H100" s="434"/>
      <c r="I100" s="435"/>
      <c r="J100" s="168"/>
      <c r="K100" s="168"/>
      <c r="L100" s="168"/>
      <c r="M100" s="172"/>
      <c r="N100" s="172"/>
      <c r="O100" s="172"/>
    </row>
    <row r="101" spans="1:15" ht="16.5" x14ac:dyDescent="0.25">
      <c r="A101" s="433" t="s">
        <v>173</v>
      </c>
      <c r="B101" s="434"/>
      <c r="C101" s="434"/>
      <c r="D101" s="434"/>
      <c r="E101" s="434"/>
      <c r="F101" s="434"/>
      <c r="G101" s="434"/>
      <c r="H101" s="434"/>
      <c r="I101" s="435"/>
      <c r="J101" s="168"/>
      <c r="K101" s="168"/>
      <c r="L101" s="168"/>
      <c r="M101" s="172"/>
      <c r="N101" s="172"/>
      <c r="O101" s="172"/>
    </row>
    <row r="102" spans="1:15" ht="16.5" x14ac:dyDescent="0.25">
      <c r="A102" s="433" t="s">
        <v>174</v>
      </c>
      <c r="B102" s="434"/>
      <c r="C102" s="434"/>
      <c r="D102" s="434"/>
      <c r="E102" s="434"/>
      <c r="F102" s="434"/>
      <c r="G102" s="434"/>
      <c r="H102" s="434"/>
      <c r="I102" s="435"/>
      <c r="J102" s="168"/>
      <c r="K102" s="168"/>
      <c r="L102" s="168"/>
      <c r="M102" s="172"/>
      <c r="N102" s="172"/>
      <c r="O102" s="172"/>
    </row>
    <row r="103" spans="1:15" ht="16.5" x14ac:dyDescent="0.25">
      <c r="A103" s="433" t="s">
        <v>180</v>
      </c>
      <c r="B103" s="434"/>
      <c r="C103" s="434"/>
      <c r="D103" s="434"/>
      <c r="E103" s="434"/>
      <c r="F103" s="434"/>
      <c r="G103" s="434"/>
      <c r="H103" s="434"/>
      <c r="I103" s="435"/>
      <c r="J103" s="168"/>
      <c r="K103" s="168"/>
      <c r="L103" s="168"/>
      <c r="M103" s="172"/>
      <c r="N103" s="172"/>
      <c r="O103" s="172"/>
    </row>
    <row r="104" spans="1:15" ht="16.5" x14ac:dyDescent="0.25">
      <c r="A104" s="433" t="s">
        <v>181</v>
      </c>
      <c r="B104" s="434"/>
      <c r="C104" s="434"/>
      <c r="D104" s="434"/>
      <c r="E104" s="434"/>
      <c r="F104" s="434"/>
      <c r="G104" s="434"/>
      <c r="H104" s="434"/>
      <c r="I104" s="435"/>
      <c r="J104" s="168"/>
      <c r="K104" s="168"/>
      <c r="L104" s="168"/>
      <c r="M104" s="172"/>
      <c r="N104" s="172"/>
      <c r="O104" s="172"/>
    </row>
    <row r="105" spans="1:15" ht="16.5" x14ac:dyDescent="0.25">
      <c r="A105" s="464" t="s">
        <v>182</v>
      </c>
      <c r="B105" s="465"/>
      <c r="C105" s="465"/>
      <c r="D105" s="465"/>
      <c r="E105" s="465"/>
      <c r="F105" s="465"/>
      <c r="G105" s="465"/>
      <c r="H105" s="465"/>
      <c r="I105" s="466"/>
      <c r="J105" s="168"/>
      <c r="K105" s="168"/>
      <c r="L105" s="168"/>
      <c r="M105" s="172"/>
      <c r="N105" s="172"/>
      <c r="O105" s="172"/>
    </row>
    <row r="106" spans="1:15" ht="16.5" x14ac:dyDescent="0.25">
      <c r="A106" s="433" t="s">
        <v>175</v>
      </c>
      <c r="B106" s="434"/>
      <c r="C106" s="434"/>
      <c r="D106" s="434"/>
      <c r="E106" s="434"/>
      <c r="F106" s="434"/>
      <c r="G106" s="434"/>
      <c r="H106" s="434"/>
      <c r="I106" s="435"/>
      <c r="J106" s="168"/>
      <c r="K106" s="168"/>
      <c r="L106" s="168"/>
      <c r="M106" s="172"/>
      <c r="N106" s="172"/>
      <c r="O106" s="172"/>
    </row>
    <row r="107" spans="1:15" ht="16.5" x14ac:dyDescent="0.25">
      <c r="A107" s="452" t="s">
        <v>183</v>
      </c>
      <c r="B107" s="453"/>
      <c r="C107" s="453"/>
      <c r="D107" s="453"/>
      <c r="E107" s="453"/>
      <c r="F107" s="453"/>
      <c r="G107" s="453"/>
      <c r="H107" s="453"/>
      <c r="I107" s="454"/>
      <c r="J107" s="227">
        <f>J93</f>
        <v>6332800</v>
      </c>
      <c r="K107" s="227">
        <f t="shared" ref="K107:O107" si="6">K93</f>
        <v>65000</v>
      </c>
      <c r="L107" s="227">
        <f t="shared" si="6"/>
        <v>70000</v>
      </c>
      <c r="M107" s="227">
        <f t="shared" si="6"/>
        <v>250000</v>
      </c>
      <c r="N107" s="227">
        <f t="shared" si="6"/>
        <v>35000</v>
      </c>
      <c r="O107" s="227">
        <f t="shared" si="6"/>
        <v>6752800</v>
      </c>
    </row>
    <row r="108" spans="1:15" ht="16.5" x14ac:dyDescent="0.25">
      <c r="A108" s="433" t="s">
        <v>209</v>
      </c>
      <c r="B108" s="434"/>
      <c r="C108" s="434"/>
      <c r="D108" s="434"/>
      <c r="E108" s="434"/>
      <c r="F108" s="434"/>
      <c r="G108" s="434"/>
      <c r="H108" s="434"/>
      <c r="I108" s="435"/>
      <c r="J108" s="168"/>
      <c r="K108" s="168"/>
      <c r="L108" s="168"/>
      <c r="M108" s="172"/>
      <c r="N108" s="172"/>
      <c r="O108" s="172"/>
    </row>
  </sheetData>
  <mergeCells count="135">
    <mergeCell ref="R2:U2"/>
    <mergeCell ref="V2:Y2"/>
    <mergeCell ref="A4:C4"/>
    <mergeCell ref="A5:C5"/>
    <mergeCell ref="A6:C6"/>
    <mergeCell ref="A7:C7"/>
    <mergeCell ref="A11:C11"/>
    <mergeCell ref="A12:C12"/>
    <mergeCell ref="L1:Q1"/>
    <mergeCell ref="A2:C3"/>
    <mergeCell ref="D2:D3"/>
    <mergeCell ref="E2:E3"/>
    <mergeCell ref="F2:I2"/>
    <mergeCell ref="J2:M2"/>
    <mergeCell ref="N2:Q2"/>
    <mergeCell ref="Q8:Q9"/>
    <mergeCell ref="A9:C9"/>
    <mergeCell ref="A13:C13"/>
    <mergeCell ref="A14:C14"/>
    <mergeCell ref="A15:C15"/>
    <mergeCell ref="A16:C16"/>
    <mergeCell ref="A8:C8"/>
    <mergeCell ref="I8:I9"/>
    <mergeCell ref="M8:M9"/>
    <mergeCell ref="A32:I32"/>
    <mergeCell ref="A33:I33"/>
    <mergeCell ref="A10:C10"/>
    <mergeCell ref="A34:I34"/>
    <mergeCell ref="A35:I35"/>
    <mergeCell ref="A36:I36"/>
    <mergeCell ref="A37:I37"/>
    <mergeCell ref="A17:C17"/>
    <mergeCell ref="A27:M27"/>
    <mergeCell ref="A28:I28"/>
    <mergeCell ref="A29:I29"/>
    <mergeCell ref="A30:I30"/>
    <mergeCell ref="A31:I31"/>
    <mergeCell ref="A19:H19"/>
    <mergeCell ref="A20:H20"/>
    <mergeCell ref="A22:H22"/>
    <mergeCell ref="A44:I44"/>
    <mergeCell ref="A49:K49"/>
    <mergeCell ref="A50:I50"/>
    <mergeCell ref="J50:K50"/>
    <mergeCell ref="A51:I51"/>
    <mergeCell ref="J51:K51"/>
    <mergeCell ref="A38:I38"/>
    <mergeCell ref="A39:I39"/>
    <mergeCell ref="A40:I40"/>
    <mergeCell ref="A41:I41"/>
    <mergeCell ref="A42:I42"/>
    <mergeCell ref="A43:I43"/>
    <mergeCell ref="A55:I55"/>
    <mergeCell ref="J55:K55"/>
    <mergeCell ref="A56:I56"/>
    <mergeCell ref="J56:K56"/>
    <mergeCell ref="A57:I57"/>
    <mergeCell ref="J57:K57"/>
    <mergeCell ref="A52:I52"/>
    <mergeCell ref="J52:K52"/>
    <mergeCell ref="A53:I53"/>
    <mergeCell ref="J53:K53"/>
    <mergeCell ref="A54:I54"/>
    <mergeCell ref="J54:K54"/>
    <mergeCell ref="A61:I61"/>
    <mergeCell ref="J61:K61"/>
    <mergeCell ref="A62:I62"/>
    <mergeCell ref="J62:K62"/>
    <mergeCell ref="A63:I63"/>
    <mergeCell ref="J63:K63"/>
    <mergeCell ref="A58:I58"/>
    <mergeCell ref="J58:K58"/>
    <mergeCell ref="A59:I59"/>
    <mergeCell ref="J59:K59"/>
    <mergeCell ref="A60:I60"/>
    <mergeCell ref="J60:K60"/>
    <mergeCell ref="A71:K71"/>
    <mergeCell ref="A72:I72"/>
    <mergeCell ref="J72:K72"/>
    <mergeCell ref="A73:I73"/>
    <mergeCell ref="J73:K73"/>
    <mergeCell ref="A74:I74"/>
    <mergeCell ref="J74:K74"/>
    <mergeCell ref="A64:I64"/>
    <mergeCell ref="J64:K64"/>
    <mergeCell ref="A65:I65"/>
    <mergeCell ref="J65:K65"/>
    <mergeCell ref="A66:I66"/>
    <mergeCell ref="J66:K66"/>
    <mergeCell ref="A78:I78"/>
    <mergeCell ref="J78:K78"/>
    <mergeCell ref="A79:I79"/>
    <mergeCell ref="J79:K79"/>
    <mergeCell ref="A80:I80"/>
    <mergeCell ref="J80:K80"/>
    <mergeCell ref="A75:I75"/>
    <mergeCell ref="J75:K75"/>
    <mergeCell ref="A76:I76"/>
    <mergeCell ref="J76:K76"/>
    <mergeCell ref="A77:I77"/>
    <mergeCell ref="J77:K77"/>
    <mergeCell ref="A84:I84"/>
    <mergeCell ref="J84:K84"/>
    <mergeCell ref="A85:I85"/>
    <mergeCell ref="J85:K85"/>
    <mergeCell ref="A86:I86"/>
    <mergeCell ref="J86:K86"/>
    <mergeCell ref="A81:I81"/>
    <mergeCell ref="J81:K81"/>
    <mergeCell ref="A82:I82"/>
    <mergeCell ref="J82:K82"/>
    <mergeCell ref="A83:I83"/>
    <mergeCell ref="J83:K83"/>
    <mergeCell ref="A93:I93"/>
    <mergeCell ref="A94:I94"/>
    <mergeCell ref="A95:I95"/>
    <mergeCell ref="A96:I96"/>
    <mergeCell ref="A97:I97"/>
    <mergeCell ref="A98:I98"/>
    <mergeCell ref="A87:I87"/>
    <mergeCell ref="J87:K87"/>
    <mergeCell ref="A88:I88"/>
    <mergeCell ref="J88:K88"/>
    <mergeCell ref="A92:I92"/>
    <mergeCell ref="A91:I91"/>
    <mergeCell ref="A105:I105"/>
    <mergeCell ref="A106:I106"/>
    <mergeCell ref="A107:I107"/>
    <mergeCell ref="A108:I108"/>
    <mergeCell ref="A99:I99"/>
    <mergeCell ref="A100:I100"/>
    <mergeCell ref="A101:I101"/>
    <mergeCell ref="A102:I102"/>
    <mergeCell ref="A103:I103"/>
    <mergeCell ref="A104:I104"/>
  </mergeCells>
  <pageMargins left="0" right="0" top="0.19685039370078741" bottom="0.19685039370078741" header="0.19685039370078741" footer="0.19685039370078741"/>
  <pageSetup paperSize="9" scale="47" fitToHeight="0" orientation="landscape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CD400-EDC2-4162-8EE6-C10E0BB95D37}">
  <sheetPr>
    <pageSetUpPr fitToPage="1"/>
  </sheetPr>
  <dimension ref="A3:T197"/>
  <sheetViews>
    <sheetView topLeftCell="A64" workbookViewId="0">
      <selection activeCell="P108" sqref="P108"/>
    </sheetView>
  </sheetViews>
  <sheetFormatPr defaultRowHeight="15" x14ac:dyDescent="0.25"/>
  <cols>
    <col min="1" max="1" width="9.42578125" bestFit="1" customWidth="1"/>
    <col min="7" max="7" width="9.42578125" bestFit="1" customWidth="1"/>
    <col min="10" max="10" width="16" customWidth="1"/>
    <col min="11" max="11" width="16" bestFit="1" customWidth="1"/>
    <col min="12" max="12" width="16.140625" bestFit="1" customWidth="1"/>
    <col min="13" max="13" width="15.7109375" customWidth="1"/>
    <col min="14" max="14" width="16.28515625" customWidth="1"/>
    <col min="15" max="15" width="11.5703125" bestFit="1" customWidth="1"/>
    <col min="16" max="16" width="14.85546875" bestFit="1" customWidth="1"/>
    <col min="18" max="18" width="11.140625" customWidth="1"/>
    <col min="19" max="19" width="13.140625" customWidth="1"/>
  </cols>
  <sheetData>
    <row r="3" spans="1:16" ht="16.5" x14ac:dyDescent="0.25">
      <c r="A3" s="212"/>
      <c r="B3" s="212"/>
      <c r="C3" s="212"/>
      <c r="D3" s="212"/>
      <c r="E3" s="212"/>
      <c r="F3" s="234" t="s">
        <v>310</v>
      </c>
      <c r="G3" s="234"/>
      <c r="H3" s="234"/>
      <c r="I3" s="234"/>
      <c r="J3" s="234"/>
      <c r="K3" s="234"/>
      <c r="L3" s="1" t="s">
        <v>410</v>
      </c>
      <c r="M3" s="224"/>
      <c r="N3" s="224"/>
      <c r="O3" s="224"/>
    </row>
    <row r="4" spans="1:16" ht="15" customHeight="1" x14ac:dyDescent="0.25">
      <c r="A4" s="483" t="s">
        <v>4</v>
      </c>
      <c r="B4" s="485" t="s">
        <v>71</v>
      </c>
      <c r="C4" s="486"/>
      <c r="D4" s="487"/>
      <c r="E4" s="491" t="s">
        <v>2</v>
      </c>
      <c r="F4" s="493" t="s">
        <v>107</v>
      </c>
      <c r="G4" s="474" t="s">
        <v>38</v>
      </c>
      <c r="H4" s="474"/>
      <c r="I4" s="474"/>
      <c r="J4" s="474"/>
      <c r="K4" s="474" t="s">
        <v>39</v>
      </c>
      <c r="L4" s="474"/>
      <c r="M4" s="474"/>
      <c r="N4" s="479"/>
      <c r="O4" s="212"/>
      <c r="P4" s="212"/>
    </row>
    <row r="5" spans="1:16" ht="49.5" x14ac:dyDescent="0.25">
      <c r="A5" s="484"/>
      <c r="B5" s="488"/>
      <c r="C5" s="489"/>
      <c r="D5" s="490"/>
      <c r="E5" s="492"/>
      <c r="F5" s="494"/>
      <c r="G5" s="207" t="s">
        <v>108</v>
      </c>
      <c r="H5" s="207" t="s">
        <v>13</v>
      </c>
      <c r="I5" s="207" t="s">
        <v>14</v>
      </c>
      <c r="J5" s="207" t="s">
        <v>25</v>
      </c>
      <c r="K5" s="207" t="s">
        <v>12</v>
      </c>
      <c r="L5" s="207" t="s">
        <v>116</v>
      </c>
      <c r="M5" s="207" t="s">
        <v>14</v>
      </c>
      <c r="N5" s="207" t="s">
        <v>25</v>
      </c>
      <c r="O5" s="212"/>
      <c r="P5" s="212"/>
    </row>
    <row r="6" spans="1:16" ht="16.5" x14ac:dyDescent="0.25">
      <c r="A6" s="209" t="s">
        <v>8</v>
      </c>
      <c r="B6" s="433" t="s">
        <v>72</v>
      </c>
      <c r="C6" s="434"/>
      <c r="D6" s="435"/>
      <c r="E6" s="214" t="s">
        <v>73</v>
      </c>
      <c r="F6" s="173"/>
      <c r="G6" s="172">
        <v>54</v>
      </c>
      <c r="H6" s="173"/>
      <c r="I6" s="172"/>
      <c r="J6" s="173">
        <f>594200-J7</f>
        <v>409200</v>
      </c>
      <c r="K6" s="172">
        <v>328</v>
      </c>
      <c r="L6" s="173"/>
      <c r="M6" s="172"/>
      <c r="N6" s="173">
        <f>584400-N7</f>
        <v>399400</v>
      </c>
      <c r="O6" s="212"/>
      <c r="P6" s="212"/>
    </row>
    <row r="7" spans="1:16" ht="16.5" x14ac:dyDescent="0.25">
      <c r="A7" s="209" t="s">
        <v>17</v>
      </c>
      <c r="B7" s="433" t="s">
        <v>79</v>
      </c>
      <c r="C7" s="434"/>
      <c r="D7" s="435"/>
      <c r="E7" s="214" t="s">
        <v>73</v>
      </c>
      <c r="F7" s="173"/>
      <c r="G7" s="172">
        <v>23</v>
      </c>
      <c r="H7" s="173"/>
      <c r="I7" s="172"/>
      <c r="J7" s="173">
        <f>25000+160000</f>
        <v>185000</v>
      </c>
      <c r="K7" s="172"/>
      <c r="L7" s="173"/>
      <c r="M7" s="172"/>
      <c r="N7" s="173">
        <f>25000+160000</f>
        <v>185000</v>
      </c>
      <c r="O7" s="212"/>
      <c r="P7" s="212"/>
    </row>
    <row r="8" spans="1:16" ht="16.5" x14ac:dyDescent="0.25">
      <c r="A8" s="209" t="s">
        <v>20</v>
      </c>
      <c r="B8" s="449" t="s">
        <v>308</v>
      </c>
      <c r="C8" s="450"/>
      <c r="D8" s="451"/>
      <c r="E8" s="214" t="s">
        <v>73</v>
      </c>
      <c r="F8" s="173"/>
      <c r="G8" s="172">
        <v>59</v>
      </c>
      <c r="H8" s="173"/>
      <c r="I8" s="172"/>
      <c r="J8" s="173"/>
      <c r="K8" s="172"/>
      <c r="L8" s="173"/>
      <c r="M8" s="172"/>
      <c r="N8" s="173"/>
      <c r="O8" s="212"/>
      <c r="P8" s="212"/>
    </row>
    <row r="9" spans="1:16" ht="16.5" x14ac:dyDescent="0.25">
      <c r="A9" s="209" t="s">
        <v>27</v>
      </c>
      <c r="B9" s="442" t="s">
        <v>102</v>
      </c>
      <c r="C9" s="442"/>
      <c r="D9" s="442"/>
      <c r="E9" s="214" t="s">
        <v>73</v>
      </c>
      <c r="F9" s="173"/>
      <c r="G9" s="172">
        <v>23</v>
      </c>
      <c r="H9" s="173"/>
      <c r="I9" s="172"/>
      <c r="J9" s="173">
        <f>121658+2421793</f>
        <v>2543451</v>
      </c>
      <c r="K9" s="172"/>
      <c r="L9" s="173"/>
      <c r="M9" s="172"/>
      <c r="N9" s="173">
        <f>60823+505974</f>
        <v>566797</v>
      </c>
      <c r="O9" s="212"/>
      <c r="P9" s="212"/>
    </row>
    <row r="10" spans="1:16" ht="16.5" x14ac:dyDescent="0.25">
      <c r="A10" s="209" t="s">
        <v>83</v>
      </c>
      <c r="B10" s="442" t="s">
        <v>106</v>
      </c>
      <c r="C10" s="442"/>
      <c r="D10" s="442"/>
      <c r="E10" s="214" t="s">
        <v>73</v>
      </c>
      <c r="F10" s="173"/>
      <c r="G10" s="230">
        <v>11</v>
      </c>
      <c r="H10" s="213"/>
      <c r="I10" s="172"/>
      <c r="J10" s="173">
        <v>365103</v>
      </c>
      <c r="K10" s="172"/>
      <c r="L10" s="173"/>
      <c r="M10" s="172"/>
      <c r="N10" s="220">
        <v>294272</v>
      </c>
      <c r="O10" s="212"/>
      <c r="P10" s="212"/>
    </row>
    <row r="11" spans="1:16" ht="16.5" x14ac:dyDescent="0.25">
      <c r="A11" s="209" t="s">
        <v>85</v>
      </c>
      <c r="B11" s="442" t="s">
        <v>109</v>
      </c>
      <c r="C11" s="442"/>
      <c r="D11" s="442"/>
      <c r="E11" s="214" t="s">
        <v>73</v>
      </c>
      <c r="F11" s="173"/>
      <c r="G11" s="212">
        <v>6</v>
      </c>
      <c r="H11" s="172"/>
      <c r="I11" s="172"/>
      <c r="J11" s="173"/>
      <c r="K11" s="172"/>
      <c r="L11" s="173"/>
      <c r="M11" s="172"/>
      <c r="N11" s="173"/>
      <c r="O11" s="212"/>
      <c r="P11" s="212"/>
    </row>
    <row r="12" spans="1:16" ht="16.5" x14ac:dyDescent="0.25">
      <c r="A12" s="218" t="s">
        <v>87</v>
      </c>
      <c r="B12" s="436" t="s">
        <v>84</v>
      </c>
      <c r="C12" s="437"/>
      <c r="D12" s="438"/>
      <c r="E12" s="235" t="s">
        <v>73</v>
      </c>
      <c r="F12" s="220"/>
      <c r="G12" s="171">
        <v>6</v>
      </c>
      <c r="H12" s="220"/>
      <c r="I12" s="171"/>
      <c r="J12" s="220">
        <v>535426</v>
      </c>
      <c r="K12" s="212"/>
      <c r="L12" s="220"/>
      <c r="M12" s="171"/>
      <c r="N12" s="220">
        <v>716876</v>
      </c>
      <c r="O12" s="212"/>
      <c r="P12" s="212"/>
    </row>
    <row r="13" spans="1:16" ht="16.5" x14ac:dyDescent="0.25">
      <c r="A13" s="209" t="s">
        <v>89</v>
      </c>
      <c r="B13" s="433" t="s">
        <v>86</v>
      </c>
      <c r="C13" s="434"/>
      <c r="D13" s="435"/>
      <c r="E13" s="235" t="s">
        <v>73</v>
      </c>
      <c r="F13" s="172"/>
      <c r="G13" s="172">
        <f>SUM(G6:G12)</f>
        <v>182</v>
      </c>
      <c r="H13" s="173"/>
      <c r="I13" s="172"/>
      <c r="J13" s="173"/>
      <c r="K13" s="172"/>
      <c r="L13" s="173"/>
      <c r="M13" s="172"/>
      <c r="N13" s="173"/>
      <c r="O13" s="212"/>
      <c r="P13" s="212"/>
    </row>
    <row r="14" spans="1:16" ht="16.5" x14ac:dyDescent="0.25">
      <c r="A14" s="209" t="s">
        <v>91</v>
      </c>
      <c r="B14" s="433" t="s">
        <v>88</v>
      </c>
      <c r="C14" s="434"/>
      <c r="D14" s="435"/>
      <c r="E14" s="235" t="s">
        <v>73</v>
      </c>
      <c r="F14" s="172"/>
      <c r="G14" s="172"/>
      <c r="H14" s="173"/>
      <c r="I14" s="172"/>
      <c r="J14" s="173">
        <v>40000</v>
      </c>
      <c r="K14" s="172"/>
      <c r="L14" s="173"/>
      <c r="M14" s="172"/>
      <c r="N14" s="173">
        <v>50000</v>
      </c>
      <c r="O14" s="212"/>
      <c r="P14" s="212"/>
    </row>
    <row r="15" spans="1:16" ht="16.5" x14ac:dyDescent="0.25">
      <c r="A15" s="209" t="s">
        <v>93</v>
      </c>
      <c r="B15" s="436" t="s">
        <v>90</v>
      </c>
      <c r="C15" s="437"/>
      <c r="D15" s="438"/>
      <c r="E15" s="235" t="s">
        <v>73</v>
      </c>
      <c r="F15" s="172"/>
      <c r="G15" s="172"/>
      <c r="H15" s="173"/>
      <c r="I15" s="172"/>
      <c r="J15" s="173">
        <v>783041</v>
      </c>
      <c r="K15" s="172"/>
      <c r="L15" s="173"/>
      <c r="M15" s="172"/>
      <c r="N15" s="173">
        <v>22084</v>
      </c>
      <c r="O15" s="212"/>
      <c r="P15" s="212"/>
    </row>
    <row r="16" spans="1:16" ht="16.5" x14ac:dyDescent="0.25">
      <c r="A16" s="209">
        <v>11</v>
      </c>
      <c r="B16" s="442" t="s">
        <v>95</v>
      </c>
      <c r="C16" s="442"/>
      <c r="D16" s="442"/>
      <c r="E16" s="235" t="s">
        <v>73</v>
      </c>
      <c r="F16" s="172"/>
      <c r="G16" s="172"/>
      <c r="H16" s="173"/>
      <c r="I16" s="172"/>
      <c r="J16" s="173"/>
      <c r="K16" s="172"/>
      <c r="L16" s="173"/>
      <c r="M16" s="172"/>
      <c r="N16" s="173"/>
      <c r="O16" s="212"/>
      <c r="P16" s="212"/>
    </row>
    <row r="17" spans="1:19" ht="16.5" x14ac:dyDescent="0.25">
      <c r="A17" s="209" t="s">
        <v>100</v>
      </c>
      <c r="B17" s="433" t="s">
        <v>288</v>
      </c>
      <c r="C17" s="434"/>
      <c r="D17" s="435"/>
      <c r="E17" s="235"/>
      <c r="F17" s="172"/>
      <c r="G17" s="172"/>
      <c r="H17" s="173"/>
      <c r="I17" s="203"/>
      <c r="J17" s="173">
        <v>9755</v>
      </c>
      <c r="K17" s="172"/>
      <c r="L17" s="173"/>
      <c r="M17" s="172"/>
      <c r="N17" s="173">
        <v>20057</v>
      </c>
      <c r="O17" s="212"/>
      <c r="P17" s="212"/>
    </row>
    <row r="18" spans="1:19" ht="16.5" x14ac:dyDescent="0.25">
      <c r="A18" s="209" t="s">
        <v>101</v>
      </c>
      <c r="B18" s="433" t="s">
        <v>104</v>
      </c>
      <c r="C18" s="434"/>
      <c r="D18" s="435"/>
      <c r="E18" s="235" t="s">
        <v>73</v>
      </c>
      <c r="F18" s="172"/>
      <c r="G18" s="172"/>
      <c r="H18" s="172"/>
      <c r="I18" s="172"/>
      <c r="J18" s="173">
        <v>33331779</v>
      </c>
      <c r="K18" s="172"/>
      <c r="L18" s="173"/>
      <c r="M18" s="172"/>
      <c r="N18" s="172">
        <v>31382671</v>
      </c>
      <c r="O18" s="212"/>
      <c r="P18" s="212"/>
    </row>
    <row r="19" spans="1:19" ht="16.5" x14ac:dyDescent="0.25">
      <c r="A19" s="209" t="s">
        <v>220</v>
      </c>
      <c r="B19" s="433" t="s">
        <v>111</v>
      </c>
      <c r="C19" s="434"/>
      <c r="D19" s="435"/>
      <c r="E19" s="235" t="s">
        <v>73</v>
      </c>
      <c r="F19" s="173"/>
      <c r="G19" s="172"/>
      <c r="H19" s="173"/>
      <c r="I19" s="172"/>
      <c r="J19" s="173">
        <v>84000</v>
      </c>
      <c r="K19" s="172"/>
      <c r="L19" s="173"/>
      <c r="M19" s="172"/>
      <c r="N19" s="172">
        <v>114000</v>
      </c>
      <c r="O19" s="212"/>
      <c r="P19" s="212"/>
    </row>
    <row r="20" spans="1:19" ht="16.5" x14ac:dyDescent="0.25">
      <c r="A20" s="231"/>
      <c r="B20" s="452" t="s">
        <v>112</v>
      </c>
      <c r="C20" s="453"/>
      <c r="D20" s="454"/>
      <c r="E20" s="204"/>
      <c r="F20" s="205"/>
      <c r="G20" s="204"/>
      <c r="H20" s="205"/>
      <c r="I20" s="204"/>
      <c r="J20" s="247">
        <f>SUM(J6:J19)</f>
        <v>38286755</v>
      </c>
      <c r="K20" s="247"/>
      <c r="L20" s="247"/>
      <c r="M20" s="247"/>
      <c r="N20" s="247">
        <f>SUM(N6:N19)</f>
        <v>33751157</v>
      </c>
      <c r="O20" s="212"/>
      <c r="P20" s="212"/>
    </row>
    <row r="21" spans="1:19" ht="16.5" x14ac:dyDescent="0.25">
      <c r="A21" s="433" t="s">
        <v>115</v>
      </c>
      <c r="B21" s="434"/>
      <c r="C21" s="434"/>
      <c r="D21" s="434"/>
      <c r="E21" s="435"/>
      <c r="F21" s="172"/>
      <c r="G21" s="172"/>
      <c r="H21" s="172"/>
      <c r="I21" s="172"/>
      <c r="J21" s="250">
        <f>(J20-J17)/G13</f>
        <v>210313.18681318683</v>
      </c>
      <c r="K21" s="250"/>
      <c r="L21" s="250"/>
      <c r="M21" s="250"/>
      <c r="N21" s="250">
        <f>(N20-N17)/K6</f>
        <v>102838.71951219512</v>
      </c>
      <c r="O21" s="212"/>
      <c r="P21" s="212"/>
    </row>
    <row r="22" spans="1:19" ht="16.5" x14ac:dyDescent="0.25">
      <c r="A22" s="212"/>
      <c r="B22" s="212"/>
      <c r="C22" s="212"/>
      <c r="D22" s="212"/>
      <c r="E22" s="212"/>
      <c r="F22" s="212"/>
      <c r="G22" s="212"/>
      <c r="H22" s="212"/>
      <c r="I22" s="212"/>
      <c r="J22" s="255">
        <f>J20-J17</f>
        <v>38277000</v>
      </c>
      <c r="K22" s="255"/>
      <c r="L22" s="255"/>
      <c r="M22" s="255"/>
      <c r="N22" s="255">
        <f>N20-N17-850000</f>
        <v>32881100</v>
      </c>
      <c r="O22" s="212"/>
      <c r="P22" s="212"/>
    </row>
    <row r="23" spans="1:19" ht="16.5" x14ac:dyDescent="0.25">
      <c r="A23" s="212"/>
      <c r="B23" s="212"/>
      <c r="C23" s="212"/>
      <c r="D23" s="212"/>
      <c r="E23" s="212"/>
      <c r="F23" s="212"/>
      <c r="G23" s="212"/>
      <c r="H23" s="212"/>
      <c r="I23" s="212"/>
      <c r="J23" s="255"/>
      <c r="K23" s="255"/>
      <c r="L23" s="255"/>
      <c r="M23" s="255"/>
      <c r="N23" s="255"/>
      <c r="O23" s="212"/>
      <c r="P23" s="213"/>
      <c r="Q23" s="54"/>
      <c r="R23" s="88"/>
      <c r="S23" s="88"/>
    </row>
    <row r="24" spans="1:19" ht="16.5" x14ac:dyDescent="0.25">
      <c r="A24" s="212"/>
      <c r="B24" s="212"/>
      <c r="C24" s="212"/>
      <c r="D24" s="212"/>
      <c r="E24" s="212"/>
      <c r="F24" s="212"/>
      <c r="G24" s="212"/>
      <c r="H24" s="212"/>
      <c r="I24" s="212"/>
      <c r="J24" s="213"/>
      <c r="K24" s="213"/>
      <c r="L24" s="212"/>
      <c r="M24" s="213"/>
      <c r="N24" s="213"/>
      <c r="O24" s="212"/>
      <c r="P24" s="212"/>
      <c r="Q24" s="54"/>
      <c r="R24" s="88"/>
      <c r="S24" s="88"/>
    </row>
    <row r="25" spans="1:19" ht="16.5" x14ac:dyDescent="0.25">
      <c r="A25" s="212"/>
      <c r="B25" s="212"/>
      <c r="C25" s="212"/>
      <c r="D25" s="212"/>
      <c r="E25" s="212"/>
      <c r="F25" s="212"/>
      <c r="G25" s="212"/>
      <c r="H25" s="212"/>
      <c r="I25" s="212"/>
      <c r="J25" s="213"/>
      <c r="K25" s="212"/>
      <c r="L25" s="212"/>
      <c r="M25" s="212"/>
      <c r="N25" s="212"/>
      <c r="O25" s="212"/>
      <c r="P25" s="212"/>
      <c r="Q25" s="54"/>
      <c r="R25" s="88"/>
      <c r="S25" s="88"/>
    </row>
    <row r="26" spans="1:19" ht="16.5" x14ac:dyDescent="0.25">
      <c r="A26" s="212"/>
      <c r="B26" s="212"/>
      <c r="C26" s="212"/>
      <c r="D26" s="212"/>
      <c r="E26" s="212"/>
      <c r="F26" s="212"/>
      <c r="G26" s="212"/>
      <c r="H26" s="212"/>
      <c r="I26" s="212"/>
      <c r="J26" s="213"/>
      <c r="K26" s="212" t="s">
        <v>338</v>
      </c>
      <c r="L26" s="212"/>
      <c r="M26" s="212"/>
      <c r="N26" s="212"/>
      <c r="O26" s="212"/>
      <c r="P26" s="212"/>
      <c r="Q26" s="54"/>
      <c r="R26" s="88"/>
      <c r="S26" s="88"/>
    </row>
    <row r="27" spans="1:19" ht="24" customHeight="1" x14ac:dyDescent="0.25">
      <c r="A27" s="458" t="s">
        <v>289</v>
      </c>
      <c r="B27" s="459"/>
      <c r="C27" s="459"/>
      <c r="D27" s="459"/>
      <c r="E27" s="459"/>
      <c r="F27" s="459"/>
      <c r="G27" s="459"/>
      <c r="H27" s="459"/>
      <c r="I27" s="459"/>
      <c r="J27" s="459"/>
      <c r="K27" s="459"/>
      <c r="L27" s="459"/>
      <c r="M27" s="459"/>
      <c r="N27" s="213"/>
      <c r="O27" s="212"/>
      <c r="P27" s="212"/>
      <c r="Q27" s="54"/>
      <c r="R27" s="88"/>
      <c r="S27" s="88"/>
    </row>
    <row r="28" spans="1:19" ht="30" customHeight="1" x14ac:dyDescent="0.25">
      <c r="A28" s="458" t="s">
        <v>313</v>
      </c>
      <c r="B28" s="459"/>
      <c r="C28" s="459"/>
      <c r="D28" s="459"/>
      <c r="E28" s="459"/>
      <c r="F28" s="459"/>
      <c r="G28" s="459"/>
      <c r="H28" s="459"/>
      <c r="I28" s="460"/>
      <c r="J28" s="201" t="s">
        <v>198</v>
      </c>
      <c r="K28" s="201" t="s">
        <v>199</v>
      </c>
      <c r="L28" s="201"/>
      <c r="M28" s="201" t="s">
        <v>183</v>
      </c>
      <c r="N28" s="213"/>
      <c r="O28" s="212"/>
      <c r="P28" s="212"/>
      <c r="Q28" s="54"/>
      <c r="R28" s="88"/>
      <c r="S28" s="88"/>
    </row>
    <row r="29" spans="1:19" ht="16.5" x14ac:dyDescent="0.25">
      <c r="A29" s="458" t="s">
        <v>170</v>
      </c>
      <c r="B29" s="459"/>
      <c r="C29" s="459"/>
      <c r="D29" s="459"/>
      <c r="E29" s="459"/>
      <c r="F29" s="459"/>
      <c r="G29" s="459"/>
      <c r="H29" s="459"/>
      <c r="I29" s="460"/>
      <c r="J29" s="226">
        <f>SUM(J30:J32)</f>
        <v>4616502.5165999997</v>
      </c>
      <c r="K29" s="226">
        <f t="shared" ref="K29" si="0">SUM(K30:K32)</f>
        <v>21752269.699999999</v>
      </c>
      <c r="L29" s="226"/>
      <c r="M29" s="205">
        <f>SUM(J29:L29)</f>
        <v>26368772.216600001</v>
      </c>
      <c r="N29" s="213"/>
      <c r="O29" s="212"/>
      <c r="P29" s="212"/>
      <c r="Q29" s="54"/>
      <c r="R29" s="88"/>
      <c r="S29" s="88"/>
    </row>
    <row r="30" spans="1:19" ht="16.5" x14ac:dyDescent="0.25">
      <c r="A30" s="449" t="s">
        <v>178</v>
      </c>
      <c r="B30" s="450"/>
      <c r="C30" s="450"/>
      <c r="D30" s="450"/>
      <c r="E30" s="450"/>
      <c r="F30" s="450"/>
      <c r="G30" s="450"/>
      <c r="H30" s="450"/>
      <c r="I30" s="451"/>
      <c r="J30" s="173">
        <f>6511040.14*69%</f>
        <v>4492617.6965999994</v>
      </c>
      <c r="K30" s="173">
        <f>N18*70%-850000</f>
        <v>21117869.699999999</v>
      </c>
      <c r="L30" s="173"/>
      <c r="M30" s="173">
        <f t="shared" ref="M30:M42" si="1">SUM(J30:L30)</f>
        <v>25610487.396600001</v>
      </c>
      <c r="N30" s="213"/>
      <c r="O30" s="212"/>
      <c r="P30" s="212"/>
      <c r="Q30" s="67"/>
      <c r="R30" s="67"/>
      <c r="S30" s="67"/>
    </row>
    <row r="31" spans="1:19" ht="45" customHeight="1" x14ac:dyDescent="0.25">
      <c r="A31" s="449" t="s">
        <v>297</v>
      </c>
      <c r="B31" s="450"/>
      <c r="C31" s="450"/>
      <c r="D31" s="450"/>
      <c r="E31" s="450"/>
      <c r="F31" s="450"/>
      <c r="G31" s="450"/>
      <c r="H31" s="450"/>
      <c r="I31" s="451"/>
      <c r="J31" s="173">
        <v>7813.61</v>
      </c>
      <c r="K31" s="173">
        <f>N13+N14</f>
        <v>50000</v>
      </c>
      <c r="L31" s="173"/>
      <c r="M31" s="173">
        <f t="shared" si="1"/>
        <v>57813.61</v>
      </c>
      <c r="N31" s="213"/>
      <c r="O31" s="212"/>
      <c r="P31" s="212"/>
      <c r="Q31" s="9"/>
      <c r="R31" s="67"/>
      <c r="S31" s="67"/>
    </row>
    <row r="32" spans="1:19" ht="16.5" x14ac:dyDescent="0.25">
      <c r="A32" s="433" t="s">
        <v>175</v>
      </c>
      <c r="B32" s="434"/>
      <c r="C32" s="434"/>
      <c r="D32" s="434"/>
      <c r="E32" s="434"/>
      <c r="F32" s="434"/>
      <c r="G32" s="434"/>
      <c r="H32" s="434"/>
      <c r="I32" s="435"/>
      <c r="J32" s="173">
        <v>116071.21</v>
      </c>
      <c r="K32" s="173">
        <f>N6+N7</f>
        <v>584400</v>
      </c>
      <c r="L32" s="173"/>
      <c r="M32" s="173">
        <f t="shared" si="1"/>
        <v>700471.21</v>
      </c>
      <c r="N32" s="213"/>
      <c r="O32" s="212"/>
      <c r="P32" s="212"/>
    </row>
    <row r="33" spans="1:20" ht="16.5" x14ac:dyDescent="0.25">
      <c r="A33" s="452" t="s">
        <v>177</v>
      </c>
      <c r="B33" s="453"/>
      <c r="C33" s="453"/>
      <c r="D33" s="453"/>
      <c r="E33" s="453"/>
      <c r="F33" s="453"/>
      <c r="G33" s="453"/>
      <c r="H33" s="453"/>
      <c r="I33" s="454"/>
      <c r="J33" s="205">
        <f>J34+J35+J39+J41+J42</f>
        <v>2860538.6434000004</v>
      </c>
      <c r="K33" s="205">
        <f t="shared" ref="K33" si="2">K34+K35+K39+K41+K42</f>
        <v>11128830.299999999</v>
      </c>
      <c r="L33" s="205"/>
      <c r="M33" s="205">
        <f t="shared" si="1"/>
        <v>13989368.943399999</v>
      </c>
      <c r="N33" s="213"/>
      <c r="O33" s="212"/>
      <c r="P33" s="212"/>
      <c r="Q33" s="67"/>
      <c r="R33" s="67"/>
    </row>
    <row r="34" spans="1:20" ht="36.75" customHeight="1" x14ac:dyDescent="0.25">
      <c r="A34" s="449" t="s">
        <v>179</v>
      </c>
      <c r="B34" s="450"/>
      <c r="C34" s="450"/>
      <c r="D34" s="450"/>
      <c r="E34" s="450"/>
      <c r="F34" s="450"/>
      <c r="G34" s="450"/>
      <c r="H34" s="450"/>
      <c r="I34" s="451"/>
      <c r="J34" s="173">
        <f>6511040.14-J30</f>
        <v>2018422.4434000002</v>
      </c>
      <c r="K34" s="173">
        <f>N18*30%</f>
        <v>9414801.2999999989</v>
      </c>
      <c r="L34" s="173"/>
      <c r="M34" s="173">
        <f t="shared" si="1"/>
        <v>11433223.7434</v>
      </c>
      <c r="N34" s="213"/>
      <c r="O34" s="213"/>
      <c r="P34" s="213"/>
      <c r="Q34" s="88"/>
      <c r="R34" s="88"/>
      <c r="S34" s="88"/>
      <c r="T34" s="140"/>
    </row>
    <row r="35" spans="1:20" ht="16.5" x14ac:dyDescent="0.25">
      <c r="A35" s="433" t="s">
        <v>171</v>
      </c>
      <c r="B35" s="434"/>
      <c r="C35" s="434"/>
      <c r="D35" s="434"/>
      <c r="E35" s="434"/>
      <c r="F35" s="434"/>
      <c r="G35" s="434"/>
      <c r="H35" s="434"/>
      <c r="I35" s="435"/>
      <c r="J35" s="173">
        <f>SUM(J36:J38)</f>
        <v>350249.39689354494</v>
      </c>
      <c r="K35" s="173">
        <f t="shared" ref="K35" si="3">SUM(K36:K38)</f>
        <v>330819.8</v>
      </c>
      <c r="L35" s="173"/>
      <c r="M35" s="173">
        <f t="shared" si="1"/>
        <v>681069.19689354487</v>
      </c>
      <c r="N35" s="213"/>
      <c r="O35" s="213"/>
      <c r="P35" s="213"/>
      <c r="Q35" s="88"/>
      <c r="R35" s="88"/>
      <c r="S35" s="88"/>
      <c r="T35" s="140"/>
    </row>
    <row r="36" spans="1:20" ht="16.5" x14ac:dyDescent="0.25">
      <c r="A36" s="433" t="s">
        <v>172</v>
      </c>
      <c r="B36" s="434"/>
      <c r="C36" s="434"/>
      <c r="D36" s="434"/>
      <c r="E36" s="434"/>
      <c r="F36" s="434"/>
      <c r="G36" s="434"/>
      <c r="H36" s="434"/>
      <c r="I36" s="435"/>
      <c r="J36" s="173">
        <f>25933/49542*13117*90%</f>
        <v>6179.541498122805</v>
      </c>
      <c r="K36" s="173">
        <f>105212*90%</f>
        <v>94690.8</v>
      </c>
      <c r="L36" s="173"/>
      <c r="M36" s="173">
        <f t="shared" si="1"/>
        <v>100870.34149812281</v>
      </c>
      <c r="N36" s="213"/>
      <c r="O36" s="213"/>
      <c r="P36" s="213"/>
      <c r="Q36" s="88"/>
      <c r="R36" s="88"/>
      <c r="S36" s="88"/>
      <c r="T36" s="67"/>
    </row>
    <row r="37" spans="1:20" ht="16.5" x14ac:dyDescent="0.25">
      <c r="A37" s="433" t="s">
        <v>173</v>
      </c>
      <c r="B37" s="434"/>
      <c r="C37" s="434"/>
      <c r="D37" s="434"/>
      <c r="E37" s="434"/>
      <c r="F37" s="434"/>
      <c r="G37" s="434"/>
      <c r="H37" s="434"/>
      <c r="I37" s="435"/>
      <c r="J37" s="173">
        <f>2395860/49542*13117*50%</f>
        <v>317170.23555770866</v>
      </c>
      <c r="K37" s="173">
        <f>400762*50%</f>
        <v>200381</v>
      </c>
      <c r="L37" s="173"/>
      <c r="M37" s="173">
        <f t="shared" si="1"/>
        <v>517551.23555770866</v>
      </c>
      <c r="N37" s="213"/>
      <c r="O37" s="213"/>
      <c r="P37" s="213"/>
      <c r="Q37" s="88"/>
      <c r="R37" s="88"/>
      <c r="S37" s="88"/>
      <c r="T37" s="67"/>
    </row>
    <row r="38" spans="1:20" ht="16.5" x14ac:dyDescent="0.25">
      <c r="A38" s="433" t="s">
        <v>174</v>
      </c>
      <c r="B38" s="434"/>
      <c r="C38" s="434"/>
      <c r="D38" s="434"/>
      <c r="E38" s="434"/>
      <c r="F38" s="434"/>
      <c r="G38" s="434"/>
      <c r="H38" s="434"/>
      <c r="I38" s="435"/>
      <c r="J38" s="173">
        <f>(45055+56543)/49542*13117</f>
        <v>26899.619837713457</v>
      </c>
      <c r="K38" s="173">
        <f>15853+19895</f>
        <v>35748</v>
      </c>
      <c r="L38" s="173"/>
      <c r="M38" s="173">
        <f t="shared" si="1"/>
        <v>62647.619837713457</v>
      </c>
      <c r="N38" s="213"/>
      <c r="O38" s="213"/>
      <c r="P38" s="213"/>
      <c r="Q38" s="88"/>
      <c r="R38" s="88"/>
      <c r="S38" s="88"/>
      <c r="T38" s="67"/>
    </row>
    <row r="39" spans="1:20" ht="16.5" x14ac:dyDescent="0.25">
      <c r="A39" s="433" t="s">
        <v>180</v>
      </c>
      <c r="B39" s="434"/>
      <c r="C39" s="434"/>
      <c r="D39" s="434"/>
      <c r="E39" s="434"/>
      <c r="F39" s="434"/>
      <c r="G39" s="434"/>
      <c r="H39" s="434"/>
      <c r="I39" s="435"/>
      <c r="J39" s="173">
        <v>16408.59</v>
      </c>
      <c r="K39" s="173">
        <f>N19</f>
        <v>114000</v>
      </c>
      <c r="L39" s="173"/>
      <c r="M39" s="173">
        <f t="shared" si="1"/>
        <v>130408.59</v>
      </c>
      <c r="N39" s="213"/>
      <c r="O39" s="213"/>
      <c r="P39" s="213"/>
      <c r="Q39" s="88"/>
      <c r="R39" s="88"/>
      <c r="S39" s="88"/>
      <c r="T39" s="67"/>
    </row>
    <row r="40" spans="1:20" ht="16.5" x14ac:dyDescent="0.25">
      <c r="A40" s="433" t="s">
        <v>181</v>
      </c>
      <c r="B40" s="434"/>
      <c r="C40" s="434"/>
      <c r="D40" s="434"/>
      <c r="E40" s="434"/>
      <c r="F40" s="434"/>
      <c r="G40" s="434"/>
      <c r="H40" s="434"/>
      <c r="I40" s="435"/>
      <c r="J40" s="213"/>
      <c r="K40" s="173"/>
      <c r="L40" s="173"/>
      <c r="M40" s="173">
        <f t="shared" si="1"/>
        <v>0</v>
      </c>
      <c r="N40" s="213"/>
      <c r="O40" s="213"/>
      <c r="P40" s="213"/>
      <c r="Q40" s="88"/>
      <c r="R40" s="88"/>
      <c r="S40" s="88"/>
      <c r="T40" s="67"/>
    </row>
    <row r="41" spans="1:20" ht="45.75" customHeight="1" x14ac:dyDescent="0.25">
      <c r="A41" s="464" t="s">
        <v>295</v>
      </c>
      <c r="B41" s="465"/>
      <c r="C41" s="465"/>
      <c r="D41" s="465"/>
      <c r="E41" s="465"/>
      <c r="F41" s="465"/>
      <c r="G41" s="465"/>
      <c r="H41" s="465"/>
      <c r="I41" s="466"/>
      <c r="J41" s="173">
        <v>71319.33</v>
      </c>
      <c r="K41" s="173">
        <f>N10</f>
        <v>294272</v>
      </c>
      <c r="L41" s="173"/>
      <c r="M41" s="173">
        <f t="shared" si="1"/>
        <v>365591.33</v>
      </c>
      <c r="N41" s="213"/>
      <c r="O41" s="213"/>
      <c r="P41" s="213"/>
      <c r="Q41" s="88"/>
      <c r="R41" s="88"/>
      <c r="S41" s="88"/>
      <c r="T41" s="67"/>
    </row>
    <row r="42" spans="1:20" ht="113.25" customHeight="1" x14ac:dyDescent="0.25">
      <c r="A42" s="449" t="s">
        <v>300</v>
      </c>
      <c r="B42" s="450"/>
      <c r="C42" s="450"/>
      <c r="D42" s="450"/>
      <c r="E42" s="450"/>
      <c r="F42" s="450"/>
      <c r="G42" s="450"/>
      <c r="H42" s="450"/>
      <c r="I42" s="451"/>
      <c r="J42" s="173">
        <f>496838.51+104590.28-J35+152959.49</f>
        <v>404138.88310645509</v>
      </c>
      <c r="K42" s="173">
        <f>N12+N15+N9-K35</f>
        <v>974937.2</v>
      </c>
      <c r="L42" s="173"/>
      <c r="M42" s="173">
        <f t="shared" si="1"/>
        <v>1379076.0831064549</v>
      </c>
      <c r="N42" s="213"/>
      <c r="O42" s="213"/>
      <c r="P42" s="213"/>
      <c r="Q42" s="88"/>
      <c r="R42" s="88"/>
      <c r="S42" s="88"/>
      <c r="T42" s="67"/>
    </row>
    <row r="43" spans="1:20" ht="16.5" x14ac:dyDescent="0.25">
      <c r="A43" s="452" t="s">
        <v>183</v>
      </c>
      <c r="B43" s="453"/>
      <c r="C43" s="453"/>
      <c r="D43" s="453"/>
      <c r="E43" s="453"/>
      <c r="F43" s="453"/>
      <c r="G43" s="453"/>
      <c r="H43" s="453"/>
      <c r="I43" s="454"/>
      <c r="J43" s="247">
        <f>J29+J33</f>
        <v>7477041.1600000001</v>
      </c>
      <c r="K43" s="247">
        <f>K29+K33</f>
        <v>32881100</v>
      </c>
      <c r="L43" s="247">
        <f>L29+L33</f>
        <v>0</v>
      </c>
      <c r="M43" s="247">
        <f>SUM(J43:L43)</f>
        <v>40358141.159999996</v>
      </c>
      <c r="N43" s="213"/>
      <c r="O43" s="213"/>
      <c r="P43" s="213"/>
      <c r="Q43" s="88"/>
      <c r="R43" s="88"/>
      <c r="S43" s="88"/>
      <c r="T43" s="67"/>
    </row>
    <row r="44" spans="1:20" ht="16.5" x14ac:dyDescent="0.25">
      <c r="A44" s="433" t="s">
        <v>202</v>
      </c>
      <c r="B44" s="434"/>
      <c r="C44" s="434"/>
      <c r="D44" s="434"/>
      <c r="E44" s="434"/>
      <c r="F44" s="434"/>
      <c r="G44" s="434"/>
      <c r="H44" s="434"/>
      <c r="I44" s="435"/>
      <c r="J44" s="250">
        <f>J43/G12</f>
        <v>1246173.5266666666</v>
      </c>
      <c r="K44" s="250">
        <f>K43/K6</f>
        <v>100247.25609756098</v>
      </c>
      <c r="L44" s="250"/>
      <c r="M44" s="250"/>
      <c r="N44" s="213"/>
      <c r="O44" s="213"/>
      <c r="P44" s="213"/>
      <c r="Q44" s="88"/>
      <c r="R44" s="88"/>
      <c r="S44" s="88"/>
      <c r="T44" s="67"/>
    </row>
    <row r="45" spans="1:20" ht="16.5" x14ac:dyDescent="0.25">
      <c r="A45" s="222"/>
      <c r="B45" s="222"/>
      <c r="C45" s="222"/>
      <c r="D45" s="222"/>
      <c r="E45" s="222"/>
      <c r="F45" s="222"/>
      <c r="G45" s="222"/>
      <c r="H45" s="222"/>
      <c r="I45" s="222"/>
      <c r="J45" s="255"/>
      <c r="K45" s="255"/>
      <c r="L45" s="255"/>
      <c r="M45" s="255"/>
      <c r="N45" s="213"/>
      <c r="O45" s="213"/>
      <c r="P45" s="213"/>
      <c r="Q45" s="88"/>
      <c r="R45" s="88"/>
      <c r="S45" s="88"/>
      <c r="T45" s="67"/>
    </row>
    <row r="46" spans="1:20" ht="16.5" x14ac:dyDescent="0.25">
      <c r="A46" s="222"/>
      <c r="B46" s="222"/>
      <c r="C46" s="222"/>
      <c r="D46" s="222"/>
      <c r="E46" s="222"/>
      <c r="F46" s="222"/>
      <c r="G46" s="222"/>
      <c r="H46" s="222"/>
      <c r="I46" s="222"/>
      <c r="J46" s="212"/>
      <c r="K46" s="212"/>
      <c r="L46" s="212"/>
      <c r="M46" s="212"/>
      <c r="N46" s="213"/>
      <c r="O46" s="213"/>
      <c r="P46" s="213"/>
      <c r="Q46" s="88"/>
      <c r="R46" s="88"/>
      <c r="S46" s="88"/>
      <c r="T46" s="67"/>
    </row>
    <row r="47" spans="1:20" ht="16.5" x14ac:dyDescent="0.25">
      <c r="A47" s="222"/>
      <c r="B47" s="222"/>
      <c r="C47" s="222"/>
      <c r="D47" s="222"/>
      <c r="E47" s="222"/>
      <c r="F47" s="222"/>
      <c r="G47" s="222"/>
      <c r="H47" s="222"/>
      <c r="I47" s="222"/>
      <c r="J47" s="212"/>
      <c r="K47" s="212"/>
      <c r="L47" s="212"/>
      <c r="M47" s="212"/>
      <c r="N47" s="213"/>
      <c r="O47" s="213"/>
      <c r="P47" s="213"/>
      <c r="Q47" s="88"/>
      <c r="R47" s="88"/>
      <c r="S47" s="88"/>
      <c r="T47" s="67"/>
    </row>
    <row r="48" spans="1:20" ht="16.5" x14ac:dyDescent="0.25">
      <c r="A48" s="222"/>
      <c r="B48" s="222"/>
      <c r="C48" s="222"/>
      <c r="D48" s="222"/>
      <c r="E48" s="222"/>
      <c r="F48" s="222"/>
      <c r="G48" s="222"/>
      <c r="H48" s="222"/>
      <c r="I48" s="222"/>
      <c r="J48" s="176"/>
      <c r="K48" s="212" t="s">
        <v>351</v>
      </c>
      <c r="L48" s="176"/>
      <c r="M48" s="176"/>
      <c r="N48" s="213"/>
      <c r="O48" s="213"/>
      <c r="P48" s="213"/>
      <c r="Q48" s="88"/>
      <c r="R48" s="88"/>
      <c r="S48" s="88"/>
      <c r="T48" s="67"/>
    </row>
    <row r="49" spans="1:19" ht="16.5" x14ac:dyDescent="0.25">
      <c r="A49" s="444" t="s">
        <v>290</v>
      </c>
      <c r="B49" s="444"/>
      <c r="C49" s="444"/>
      <c r="D49" s="444"/>
      <c r="E49" s="444"/>
      <c r="F49" s="444"/>
      <c r="G49" s="444"/>
      <c r="H49" s="444"/>
      <c r="I49" s="444"/>
      <c r="J49" s="444"/>
      <c r="K49" s="444"/>
      <c r="L49" s="444"/>
      <c r="M49" s="444"/>
      <c r="N49" s="213"/>
      <c r="O49" s="213"/>
      <c r="P49" s="213"/>
      <c r="Q49" s="88"/>
      <c r="R49" s="88"/>
      <c r="S49" s="88"/>
    </row>
    <row r="50" spans="1:19" ht="37.5" customHeight="1" x14ac:dyDescent="0.25">
      <c r="A50" s="516" t="s">
        <v>314</v>
      </c>
      <c r="B50" s="517"/>
      <c r="C50" s="517"/>
      <c r="D50" s="517"/>
      <c r="E50" s="517"/>
      <c r="F50" s="517"/>
      <c r="G50" s="517"/>
      <c r="H50" s="517"/>
      <c r="I50" s="518"/>
      <c r="J50" s="201" t="s">
        <v>198</v>
      </c>
      <c r="K50" s="201" t="s">
        <v>199</v>
      </c>
      <c r="L50" s="201" t="s">
        <v>200</v>
      </c>
      <c r="M50" s="201" t="s">
        <v>183</v>
      </c>
      <c r="N50" s="213"/>
      <c r="O50" s="213"/>
      <c r="P50" s="213"/>
      <c r="Q50" s="88"/>
      <c r="R50" s="88"/>
      <c r="S50" s="88"/>
    </row>
    <row r="51" spans="1:19" ht="16.5" x14ac:dyDescent="0.25">
      <c r="A51" s="458" t="s">
        <v>170</v>
      </c>
      <c r="B51" s="459"/>
      <c r="C51" s="459"/>
      <c r="D51" s="459"/>
      <c r="E51" s="459"/>
      <c r="F51" s="459"/>
      <c r="G51" s="459"/>
      <c r="H51" s="459"/>
      <c r="I51" s="460"/>
      <c r="J51" s="224">
        <f>SUM(J52:J54)</f>
        <v>2883509.3851000001</v>
      </c>
      <c r="K51" s="204"/>
      <c r="L51" s="204"/>
      <c r="M51" s="204">
        <f>SUM(J51:L51)</f>
        <v>2883509.3851000001</v>
      </c>
      <c r="N51" s="212"/>
      <c r="O51" s="212"/>
      <c r="P51" s="212"/>
    </row>
    <row r="52" spans="1:19" ht="16.5" x14ac:dyDescent="0.25">
      <c r="A52" s="449" t="s">
        <v>178</v>
      </c>
      <c r="B52" s="450"/>
      <c r="C52" s="450"/>
      <c r="D52" s="450"/>
      <c r="E52" s="450"/>
      <c r="F52" s="450"/>
      <c r="G52" s="450"/>
      <c r="H52" s="450"/>
      <c r="I52" s="451"/>
      <c r="J52" s="233">
        <f>4066854.79*69%</f>
        <v>2806129.8051</v>
      </c>
      <c r="K52" s="172"/>
      <c r="L52" s="172"/>
      <c r="M52" s="172">
        <f t="shared" ref="M52:M64" si="4">SUM(J52:L52)</f>
        <v>2806129.8051</v>
      </c>
      <c r="N52" s="212"/>
      <c r="O52" s="212"/>
      <c r="P52" s="212"/>
    </row>
    <row r="53" spans="1:19" ht="43.5" customHeight="1" x14ac:dyDescent="0.25">
      <c r="A53" s="449" t="s">
        <v>297</v>
      </c>
      <c r="B53" s="450"/>
      <c r="C53" s="450"/>
      <c r="D53" s="450"/>
      <c r="E53" s="450"/>
      <c r="F53" s="450"/>
      <c r="G53" s="450"/>
      <c r="H53" s="450"/>
      <c r="I53" s="451"/>
      <c r="J53" s="233">
        <v>4880.45</v>
      </c>
      <c r="K53" s="172"/>
      <c r="L53" s="172"/>
      <c r="M53" s="172">
        <f t="shared" si="4"/>
        <v>4880.45</v>
      </c>
      <c r="N53" s="212"/>
      <c r="O53" s="212"/>
      <c r="P53" s="212"/>
    </row>
    <row r="54" spans="1:19" ht="16.5" x14ac:dyDescent="0.25">
      <c r="A54" s="433" t="s">
        <v>175</v>
      </c>
      <c r="B54" s="434"/>
      <c r="C54" s="434"/>
      <c r="D54" s="434"/>
      <c r="E54" s="434"/>
      <c r="F54" s="434"/>
      <c r="G54" s="434"/>
      <c r="H54" s="434"/>
      <c r="I54" s="435"/>
      <c r="J54" s="177">
        <v>72499.13</v>
      </c>
      <c r="K54" s="172"/>
      <c r="L54" s="172"/>
      <c r="M54" s="172">
        <f t="shared" si="4"/>
        <v>72499.13</v>
      </c>
      <c r="N54" s="213"/>
      <c r="O54" s="212"/>
      <c r="P54" s="212"/>
    </row>
    <row r="55" spans="1:19" ht="16.5" x14ac:dyDescent="0.25">
      <c r="A55" s="452" t="s">
        <v>177</v>
      </c>
      <c r="B55" s="453"/>
      <c r="C55" s="453"/>
      <c r="D55" s="453"/>
      <c r="E55" s="453"/>
      <c r="F55" s="453"/>
      <c r="G55" s="453"/>
      <c r="H55" s="453"/>
      <c r="I55" s="454"/>
      <c r="J55" s="206">
        <f>J56+J57+J61+J63+J64</f>
        <v>1786718.4149</v>
      </c>
      <c r="K55" s="175"/>
      <c r="L55" s="204"/>
      <c r="M55" s="204">
        <f t="shared" si="4"/>
        <v>1786718.4149</v>
      </c>
      <c r="N55" s="212"/>
      <c r="O55" s="212"/>
      <c r="P55" s="212"/>
    </row>
    <row r="56" spans="1:19" ht="16.5" x14ac:dyDescent="0.25">
      <c r="A56" s="449" t="s">
        <v>179</v>
      </c>
      <c r="B56" s="450"/>
      <c r="C56" s="450"/>
      <c r="D56" s="450"/>
      <c r="E56" s="450"/>
      <c r="F56" s="450"/>
      <c r="G56" s="450"/>
      <c r="H56" s="450"/>
      <c r="I56" s="451"/>
      <c r="J56" s="177">
        <f>4066854.79-J52</f>
        <v>1260724.9849</v>
      </c>
      <c r="K56" s="172"/>
      <c r="L56" s="172"/>
      <c r="M56" s="172">
        <f t="shared" si="4"/>
        <v>1260724.9849</v>
      </c>
      <c r="N56" s="176"/>
      <c r="O56" s="212"/>
      <c r="P56" s="212"/>
    </row>
    <row r="57" spans="1:19" ht="16.5" x14ac:dyDescent="0.25">
      <c r="A57" s="433" t="s">
        <v>171</v>
      </c>
      <c r="B57" s="434"/>
      <c r="C57" s="434"/>
      <c r="D57" s="434"/>
      <c r="E57" s="434"/>
      <c r="F57" s="434"/>
      <c r="G57" s="434"/>
      <c r="H57" s="434"/>
      <c r="I57" s="435"/>
      <c r="J57" s="177">
        <f>SUM(J58:J60)</f>
        <v>219009.34309071093</v>
      </c>
      <c r="K57" s="172"/>
      <c r="L57" s="172"/>
      <c r="M57" s="172">
        <f t="shared" si="4"/>
        <v>219009.34309071093</v>
      </c>
      <c r="N57" s="212"/>
      <c r="O57" s="212"/>
      <c r="P57" s="212"/>
    </row>
    <row r="58" spans="1:19" ht="16.5" x14ac:dyDescent="0.25">
      <c r="A58" s="433" t="s">
        <v>172</v>
      </c>
      <c r="B58" s="434"/>
      <c r="C58" s="434"/>
      <c r="D58" s="434"/>
      <c r="E58" s="434"/>
      <c r="F58" s="434"/>
      <c r="G58" s="434"/>
      <c r="H58" s="434"/>
      <c r="I58" s="435"/>
      <c r="J58" s="177">
        <f>25933/49542*8202*90%</f>
        <v>3864.0389851035488</v>
      </c>
      <c r="K58" s="172"/>
      <c r="L58" s="172"/>
      <c r="M58" s="172">
        <f t="shared" si="4"/>
        <v>3864.0389851035488</v>
      </c>
      <c r="N58" s="212"/>
      <c r="O58" s="212"/>
      <c r="P58" s="212"/>
    </row>
    <row r="59" spans="1:19" ht="16.5" x14ac:dyDescent="0.25">
      <c r="A59" s="433" t="s">
        <v>173</v>
      </c>
      <c r="B59" s="434"/>
      <c r="C59" s="434"/>
      <c r="D59" s="434"/>
      <c r="E59" s="434"/>
      <c r="F59" s="434"/>
      <c r="G59" s="434"/>
      <c r="H59" s="434"/>
      <c r="I59" s="435"/>
      <c r="J59" s="177">
        <f>2395860/49542*8202*50%</f>
        <v>198325.095070849</v>
      </c>
      <c r="K59" s="172"/>
      <c r="L59" s="172"/>
      <c r="M59" s="172">
        <f t="shared" si="4"/>
        <v>198325.095070849</v>
      </c>
      <c r="N59" s="212"/>
      <c r="O59" s="212"/>
      <c r="P59" s="212"/>
    </row>
    <row r="60" spans="1:19" ht="16.5" x14ac:dyDescent="0.25">
      <c r="A60" s="433" t="s">
        <v>174</v>
      </c>
      <c r="B60" s="434"/>
      <c r="C60" s="434"/>
      <c r="D60" s="434"/>
      <c r="E60" s="434"/>
      <c r="F60" s="434"/>
      <c r="G60" s="434"/>
      <c r="H60" s="434"/>
      <c r="I60" s="435"/>
      <c r="J60" s="177">
        <f>(45055+56543)/49542*8202</f>
        <v>16820.209034758387</v>
      </c>
      <c r="K60" s="172"/>
      <c r="L60" s="172"/>
      <c r="M60" s="172">
        <f t="shared" si="4"/>
        <v>16820.209034758387</v>
      </c>
      <c r="N60" s="212"/>
      <c r="O60" s="212"/>
      <c r="P60" s="212"/>
    </row>
    <row r="61" spans="1:19" ht="16.5" x14ac:dyDescent="0.25">
      <c r="A61" s="433" t="s">
        <v>180</v>
      </c>
      <c r="B61" s="434"/>
      <c r="C61" s="434"/>
      <c r="D61" s="434"/>
      <c r="E61" s="434"/>
      <c r="F61" s="434"/>
      <c r="G61" s="434"/>
      <c r="H61" s="434"/>
      <c r="I61" s="435"/>
      <c r="J61" s="177">
        <v>10248.950000000001</v>
      </c>
      <c r="K61" s="172"/>
      <c r="L61" s="172"/>
      <c r="M61" s="172">
        <f t="shared" si="4"/>
        <v>10248.950000000001</v>
      </c>
      <c r="N61" s="212"/>
      <c r="O61" s="212"/>
      <c r="P61" s="212"/>
    </row>
    <row r="62" spans="1:19" ht="16.5" x14ac:dyDescent="0.25">
      <c r="A62" s="433" t="s">
        <v>181</v>
      </c>
      <c r="B62" s="434"/>
      <c r="C62" s="434"/>
      <c r="D62" s="434"/>
      <c r="E62" s="434"/>
      <c r="F62" s="434"/>
      <c r="G62" s="434"/>
      <c r="H62" s="434"/>
      <c r="I62" s="435"/>
      <c r="J62" s="177"/>
      <c r="K62" s="172"/>
      <c r="L62" s="172"/>
      <c r="M62" s="172">
        <f t="shared" si="4"/>
        <v>0</v>
      </c>
      <c r="N62" s="212"/>
      <c r="O62" s="212"/>
      <c r="P62" s="212"/>
    </row>
    <row r="63" spans="1:19" ht="48.75" customHeight="1" x14ac:dyDescent="0.25">
      <c r="A63" s="464" t="s">
        <v>295</v>
      </c>
      <c r="B63" s="465"/>
      <c r="C63" s="465"/>
      <c r="D63" s="465"/>
      <c r="E63" s="465"/>
      <c r="F63" s="465"/>
      <c r="G63" s="465"/>
      <c r="H63" s="465"/>
      <c r="I63" s="466"/>
      <c r="J63" s="177">
        <v>44546.7</v>
      </c>
      <c r="K63" s="172"/>
      <c r="L63" s="172"/>
      <c r="M63" s="172">
        <f t="shared" si="4"/>
        <v>44546.7</v>
      </c>
      <c r="N63" s="212"/>
      <c r="O63" s="212"/>
      <c r="P63" s="212"/>
    </row>
    <row r="64" spans="1:19" ht="60" customHeight="1" x14ac:dyDescent="0.25">
      <c r="A64" s="449" t="s">
        <v>298</v>
      </c>
      <c r="B64" s="450"/>
      <c r="C64" s="450"/>
      <c r="D64" s="450"/>
      <c r="E64" s="450"/>
      <c r="F64" s="450"/>
      <c r="G64" s="450"/>
      <c r="H64" s="450"/>
      <c r="I64" s="451"/>
      <c r="J64" s="177">
        <f>310329.85+65328.04+95539.89-J57</f>
        <v>252188.43690928904</v>
      </c>
      <c r="K64" s="172"/>
      <c r="L64" s="172"/>
      <c r="M64" s="172">
        <f t="shared" si="4"/>
        <v>252188.43690928904</v>
      </c>
      <c r="N64" s="212"/>
      <c r="O64" s="212"/>
      <c r="P64" s="212"/>
    </row>
    <row r="65" spans="1:16" ht="16.5" x14ac:dyDescent="0.25">
      <c r="A65" s="452" t="s">
        <v>183</v>
      </c>
      <c r="B65" s="453"/>
      <c r="C65" s="453"/>
      <c r="D65" s="453"/>
      <c r="E65" s="453"/>
      <c r="F65" s="453"/>
      <c r="G65" s="453"/>
      <c r="H65" s="453"/>
      <c r="I65" s="454"/>
      <c r="J65" s="256">
        <f>J51+J55</f>
        <v>4670227.8</v>
      </c>
      <c r="K65" s="247"/>
      <c r="L65" s="247"/>
      <c r="M65" s="247">
        <f>SUM(J65:L65)</f>
        <v>4670227.8</v>
      </c>
      <c r="N65" s="212"/>
      <c r="O65" s="212"/>
      <c r="P65" s="212"/>
    </row>
    <row r="66" spans="1:16" ht="16.5" x14ac:dyDescent="0.25">
      <c r="A66" s="433" t="s">
        <v>202</v>
      </c>
      <c r="B66" s="434"/>
      <c r="C66" s="434"/>
      <c r="D66" s="434"/>
      <c r="E66" s="434"/>
      <c r="F66" s="434"/>
      <c r="G66" s="434"/>
      <c r="H66" s="434"/>
      <c r="I66" s="435"/>
      <c r="J66" s="250">
        <f>J65/G7</f>
        <v>203053.38260869565</v>
      </c>
      <c r="K66" s="250"/>
      <c r="L66" s="250"/>
      <c r="M66" s="250"/>
      <c r="N66" s="212"/>
      <c r="O66" s="212"/>
      <c r="P66" s="212"/>
    </row>
    <row r="67" spans="1:16" ht="16.5" x14ac:dyDescent="0.25">
      <c r="A67" s="212"/>
      <c r="B67" s="212"/>
      <c r="C67" s="212"/>
      <c r="D67" s="212"/>
      <c r="E67" s="212"/>
      <c r="F67" s="212"/>
      <c r="G67" s="212"/>
      <c r="H67" s="212"/>
      <c r="I67" s="212"/>
      <c r="J67" s="176"/>
      <c r="K67" s="212"/>
      <c r="L67" s="212"/>
      <c r="M67" s="212"/>
      <c r="N67" s="212"/>
      <c r="O67" s="212"/>
      <c r="P67" s="212"/>
    </row>
    <row r="68" spans="1:16" ht="16.5" x14ac:dyDescent="0.25">
      <c r="A68" s="212"/>
      <c r="B68" s="212"/>
      <c r="C68" s="212"/>
      <c r="D68" s="212"/>
      <c r="E68" s="212"/>
      <c r="F68" s="212"/>
      <c r="G68" s="212"/>
      <c r="H68" s="212"/>
      <c r="I68" s="212"/>
      <c r="J68" s="176"/>
      <c r="K68" s="212"/>
      <c r="L68" s="212"/>
      <c r="M68" s="212"/>
      <c r="N68" s="212"/>
      <c r="O68" s="212"/>
      <c r="P68" s="212"/>
    </row>
    <row r="69" spans="1:16" ht="16.5" x14ac:dyDescent="0.25">
      <c r="A69" s="212"/>
      <c r="B69" s="212"/>
      <c r="C69" s="212"/>
      <c r="D69" s="212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</row>
    <row r="70" spans="1:16" ht="16.5" x14ac:dyDescent="0.25">
      <c r="A70" s="212"/>
      <c r="B70" s="212"/>
      <c r="C70" s="212"/>
      <c r="D70" s="212"/>
      <c r="E70" s="212"/>
      <c r="F70" s="212"/>
      <c r="G70" s="212"/>
      <c r="H70" s="212"/>
      <c r="I70" s="212"/>
      <c r="J70" s="212"/>
      <c r="K70" s="212"/>
      <c r="L70" s="212"/>
      <c r="M70" s="212"/>
      <c r="N70" s="212"/>
      <c r="O70" s="212"/>
      <c r="P70" s="212"/>
    </row>
    <row r="71" spans="1:16" ht="16.5" x14ac:dyDescent="0.25">
      <c r="A71" s="212"/>
      <c r="B71" s="212"/>
      <c r="C71" s="212"/>
      <c r="D71" s="212"/>
      <c r="E71" s="212"/>
      <c r="F71" s="212"/>
      <c r="G71" s="212"/>
      <c r="H71" s="212"/>
      <c r="I71" s="212"/>
      <c r="J71" s="176"/>
      <c r="K71" s="212" t="s">
        <v>346</v>
      </c>
      <c r="L71" s="212"/>
      <c r="M71" s="212"/>
      <c r="N71" s="212"/>
      <c r="O71" s="212"/>
      <c r="P71" s="212"/>
    </row>
    <row r="72" spans="1:16" ht="28.5" customHeight="1" x14ac:dyDescent="0.25">
      <c r="A72" s="469" t="s">
        <v>291</v>
      </c>
      <c r="B72" s="470"/>
      <c r="C72" s="470"/>
      <c r="D72" s="470"/>
      <c r="E72" s="470"/>
      <c r="F72" s="470"/>
      <c r="G72" s="470"/>
      <c r="H72" s="470"/>
      <c r="I72" s="470"/>
      <c r="J72" s="470"/>
      <c r="K72" s="470"/>
      <c r="L72" s="470"/>
      <c r="M72" s="471"/>
      <c r="N72" s="212"/>
      <c r="O72" s="212"/>
      <c r="P72" s="212"/>
    </row>
    <row r="73" spans="1:16" ht="30" customHeight="1" x14ac:dyDescent="0.25">
      <c r="A73" s="516" t="s">
        <v>314</v>
      </c>
      <c r="B73" s="517"/>
      <c r="C73" s="517"/>
      <c r="D73" s="517"/>
      <c r="E73" s="517"/>
      <c r="F73" s="517"/>
      <c r="G73" s="517"/>
      <c r="H73" s="517"/>
      <c r="I73" s="518"/>
      <c r="J73" s="236" t="s">
        <v>198</v>
      </c>
      <c r="K73" s="201" t="s">
        <v>199</v>
      </c>
      <c r="L73" s="201" t="s">
        <v>200</v>
      </c>
      <c r="M73" s="201" t="s">
        <v>183</v>
      </c>
      <c r="N73" s="212"/>
      <c r="O73" s="212"/>
      <c r="P73" s="212"/>
    </row>
    <row r="74" spans="1:16" ht="16.5" x14ac:dyDescent="0.25">
      <c r="A74" s="458" t="s">
        <v>170</v>
      </c>
      <c r="B74" s="459"/>
      <c r="C74" s="459"/>
      <c r="D74" s="459"/>
      <c r="E74" s="459"/>
      <c r="F74" s="459"/>
      <c r="G74" s="459"/>
      <c r="H74" s="459"/>
      <c r="I74" s="460"/>
      <c r="J74" s="225">
        <f>SUM(J75:J77)</f>
        <v>10054446.7884</v>
      </c>
      <c r="K74" s="204"/>
      <c r="L74" s="204"/>
      <c r="M74" s="175">
        <f>SUM(J74:L74)</f>
        <v>10054446.7884</v>
      </c>
      <c r="N74" s="212"/>
      <c r="O74" s="212"/>
      <c r="P74" s="212"/>
    </row>
    <row r="75" spans="1:16" ht="30.75" customHeight="1" x14ac:dyDescent="0.25">
      <c r="A75" s="449" t="s">
        <v>178</v>
      </c>
      <c r="B75" s="450"/>
      <c r="C75" s="450"/>
      <c r="D75" s="450"/>
      <c r="E75" s="450"/>
      <c r="F75" s="450"/>
      <c r="G75" s="450"/>
      <c r="H75" s="450"/>
      <c r="I75" s="451"/>
      <c r="J75" s="177">
        <f>14180628.36*69%</f>
        <v>9784633.5683999993</v>
      </c>
      <c r="K75" s="172"/>
      <c r="L75" s="172"/>
      <c r="M75" s="168">
        <f t="shared" ref="M75:M87" si="5">SUM(J75:L75)</f>
        <v>9784633.5683999993</v>
      </c>
      <c r="N75" s="212"/>
      <c r="O75" s="212"/>
      <c r="P75" s="212"/>
    </row>
    <row r="76" spans="1:16" ht="47.25" customHeight="1" x14ac:dyDescent="0.25">
      <c r="A76" s="449" t="s">
        <v>297</v>
      </c>
      <c r="B76" s="450"/>
      <c r="C76" s="450"/>
      <c r="D76" s="450"/>
      <c r="E76" s="450"/>
      <c r="F76" s="450"/>
      <c r="G76" s="450"/>
      <c r="H76" s="450"/>
      <c r="I76" s="451"/>
      <c r="J76" s="177">
        <v>17017.55</v>
      </c>
      <c r="K76" s="172"/>
      <c r="L76" s="172"/>
      <c r="M76" s="168">
        <f t="shared" si="5"/>
        <v>17017.55</v>
      </c>
      <c r="N76" s="212"/>
      <c r="O76" s="212"/>
      <c r="P76" s="212"/>
    </row>
    <row r="77" spans="1:16" ht="16.5" x14ac:dyDescent="0.25">
      <c r="A77" s="433" t="s">
        <v>175</v>
      </c>
      <c r="B77" s="434"/>
      <c r="C77" s="434"/>
      <c r="D77" s="434"/>
      <c r="E77" s="434"/>
      <c r="F77" s="434"/>
      <c r="G77" s="434"/>
      <c r="H77" s="434"/>
      <c r="I77" s="435"/>
      <c r="J77" s="177">
        <v>252795.67</v>
      </c>
      <c r="K77" s="172"/>
      <c r="L77" s="172"/>
      <c r="M77" s="168">
        <f t="shared" si="5"/>
        <v>252795.67</v>
      </c>
      <c r="N77" s="212"/>
      <c r="O77" s="212"/>
      <c r="P77" s="212"/>
    </row>
    <row r="78" spans="1:16" ht="16.5" x14ac:dyDescent="0.25">
      <c r="A78" s="452" t="s">
        <v>177</v>
      </c>
      <c r="B78" s="453"/>
      <c r="C78" s="453"/>
      <c r="D78" s="453"/>
      <c r="E78" s="453"/>
      <c r="F78" s="453"/>
      <c r="G78" s="453"/>
      <c r="H78" s="453"/>
      <c r="I78" s="454"/>
      <c r="J78" s="206">
        <f>J79+J80+J84+J86+J87</f>
        <v>6230069.9015999995</v>
      </c>
      <c r="K78" s="175"/>
      <c r="L78" s="204"/>
      <c r="M78" s="175">
        <f t="shared" si="5"/>
        <v>6230069.9015999995</v>
      </c>
      <c r="N78" s="176"/>
      <c r="O78" s="212"/>
      <c r="P78" s="212"/>
    </row>
    <row r="79" spans="1:16" ht="16.5" x14ac:dyDescent="0.25">
      <c r="A79" s="449" t="s">
        <v>179</v>
      </c>
      <c r="B79" s="450"/>
      <c r="C79" s="450"/>
      <c r="D79" s="450"/>
      <c r="E79" s="450"/>
      <c r="F79" s="450"/>
      <c r="G79" s="450"/>
      <c r="H79" s="450"/>
      <c r="I79" s="451"/>
      <c r="J79" s="177">
        <f>14180628.36-J75</f>
        <v>4395994.7916000001</v>
      </c>
      <c r="K79" s="172"/>
      <c r="L79" s="172"/>
      <c r="M79" s="168">
        <f t="shared" si="5"/>
        <v>4395994.7916000001</v>
      </c>
      <c r="N79" s="176"/>
      <c r="O79" s="212"/>
      <c r="P79" s="212"/>
    </row>
    <row r="80" spans="1:16" ht="16.5" x14ac:dyDescent="0.25">
      <c r="A80" s="433" t="s">
        <v>171</v>
      </c>
      <c r="B80" s="434"/>
      <c r="C80" s="434"/>
      <c r="D80" s="434"/>
      <c r="E80" s="434"/>
      <c r="F80" s="434"/>
      <c r="G80" s="434"/>
      <c r="H80" s="434"/>
      <c r="I80" s="435"/>
      <c r="J80" s="177">
        <f>SUM(J81:J83)</f>
        <v>565386.95813249366</v>
      </c>
      <c r="K80" s="172"/>
      <c r="L80" s="172"/>
      <c r="M80" s="168">
        <f t="shared" si="5"/>
        <v>565386.95813249366</v>
      </c>
      <c r="N80" s="212"/>
      <c r="O80" s="212"/>
      <c r="P80" s="212"/>
    </row>
    <row r="81" spans="1:16" ht="16.5" x14ac:dyDescent="0.25">
      <c r="A81" s="433" t="s">
        <v>172</v>
      </c>
      <c r="B81" s="434"/>
      <c r="C81" s="434"/>
      <c r="D81" s="434"/>
      <c r="E81" s="434"/>
      <c r="F81" s="434"/>
      <c r="G81" s="434"/>
      <c r="H81" s="434"/>
      <c r="I81" s="435"/>
      <c r="J81" s="177">
        <f>25933/49542*21174*90%</f>
        <v>9975.2696257720727</v>
      </c>
      <c r="K81" s="172"/>
      <c r="L81" s="172"/>
      <c r="M81" s="168">
        <f t="shared" si="5"/>
        <v>9975.2696257720727</v>
      </c>
      <c r="N81" s="212"/>
      <c r="O81" s="212"/>
      <c r="P81" s="212"/>
    </row>
    <row r="82" spans="1:16" ht="16.5" x14ac:dyDescent="0.25">
      <c r="A82" s="433" t="s">
        <v>173</v>
      </c>
      <c r="B82" s="434"/>
      <c r="C82" s="434"/>
      <c r="D82" s="434"/>
      <c r="E82" s="434"/>
      <c r="F82" s="434"/>
      <c r="G82" s="434"/>
      <c r="H82" s="434"/>
      <c r="I82" s="435"/>
      <c r="J82" s="177">
        <f>2395860/49542*21174*50%</f>
        <v>511989.21763352311</v>
      </c>
      <c r="K82" s="172"/>
      <c r="L82" s="172"/>
      <c r="M82" s="168">
        <f t="shared" si="5"/>
        <v>511989.21763352311</v>
      </c>
      <c r="N82" s="212"/>
      <c r="O82" s="212"/>
      <c r="P82" s="212"/>
    </row>
    <row r="83" spans="1:16" ht="16.5" x14ac:dyDescent="0.25">
      <c r="A83" s="433" t="s">
        <v>174</v>
      </c>
      <c r="B83" s="434"/>
      <c r="C83" s="434"/>
      <c r="D83" s="434"/>
      <c r="E83" s="434"/>
      <c r="F83" s="434"/>
      <c r="G83" s="434"/>
      <c r="H83" s="434"/>
      <c r="I83" s="435"/>
      <c r="J83" s="177">
        <f>(45055+56543)/49542*21174</f>
        <v>43422.470873198501</v>
      </c>
      <c r="K83" s="172"/>
      <c r="L83" s="172"/>
      <c r="M83" s="168">
        <f t="shared" si="5"/>
        <v>43422.470873198501</v>
      </c>
      <c r="N83" s="212"/>
      <c r="O83" s="212"/>
      <c r="P83" s="212"/>
    </row>
    <row r="84" spans="1:16" ht="16.5" x14ac:dyDescent="0.25">
      <c r="A84" s="433" t="s">
        <v>180</v>
      </c>
      <c r="B84" s="434"/>
      <c r="C84" s="434"/>
      <c r="D84" s="434"/>
      <c r="E84" s="434"/>
      <c r="F84" s="434"/>
      <c r="G84" s="434"/>
      <c r="H84" s="434"/>
      <c r="I84" s="435"/>
      <c r="J84" s="177">
        <v>35736.85</v>
      </c>
      <c r="K84" s="172"/>
      <c r="L84" s="172"/>
      <c r="M84" s="168">
        <f t="shared" si="5"/>
        <v>35736.85</v>
      </c>
      <c r="N84" s="212"/>
      <c r="O84" s="212"/>
      <c r="P84" s="212"/>
    </row>
    <row r="85" spans="1:16" ht="16.5" x14ac:dyDescent="0.25">
      <c r="A85" s="433" t="s">
        <v>181</v>
      </c>
      <c r="B85" s="434"/>
      <c r="C85" s="434"/>
      <c r="D85" s="434"/>
      <c r="E85" s="434"/>
      <c r="F85" s="434"/>
      <c r="G85" s="434"/>
      <c r="H85" s="434"/>
      <c r="I85" s="435"/>
      <c r="J85" s="177"/>
      <c r="K85" s="172"/>
      <c r="L85" s="172"/>
      <c r="M85" s="168">
        <f t="shared" si="5"/>
        <v>0</v>
      </c>
      <c r="N85" s="212"/>
      <c r="O85" s="212"/>
      <c r="P85" s="212"/>
    </row>
    <row r="86" spans="1:16" ht="45.75" customHeight="1" x14ac:dyDescent="0.25">
      <c r="A86" s="464" t="s">
        <v>295</v>
      </c>
      <c r="B86" s="465"/>
      <c r="C86" s="465"/>
      <c r="D86" s="465"/>
      <c r="E86" s="465"/>
      <c r="F86" s="465"/>
      <c r="G86" s="465"/>
      <c r="H86" s="465"/>
      <c r="I86" s="466"/>
      <c r="J86" s="177">
        <v>155328.94</v>
      </c>
      <c r="K86" s="172"/>
      <c r="L86" s="172"/>
      <c r="M86" s="168">
        <f t="shared" si="5"/>
        <v>155328.94</v>
      </c>
      <c r="N86" s="212"/>
      <c r="O86" s="212"/>
      <c r="P86" s="212"/>
    </row>
    <row r="87" spans="1:16" ht="114.75" customHeight="1" x14ac:dyDescent="0.25">
      <c r="A87" s="449" t="s">
        <v>299</v>
      </c>
      <c r="B87" s="450"/>
      <c r="C87" s="450"/>
      <c r="D87" s="450"/>
      <c r="E87" s="450"/>
      <c r="F87" s="450"/>
      <c r="G87" s="450"/>
      <c r="H87" s="450"/>
      <c r="I87" s="451"/>
      <c r="J87" s="177">
        <f>1082082.46+227790.94+333135.92-J80</f>
        <v>1077622.3618675061</v>
      </c>
      <c r="K87" s="172"/>
      <c r="L87" s="172"/>
      <c r="M87" s="168">
        <f t="shared" si="5"/>
        <v>1077622.3618675061</v>
      </c>
      <c r="N87" s="212"/>
      <c r="O87" s="212"/>
      <c r="P87" s="212"/>
    </row>
    <row r="88" spans="1:16" ht="16.5" x14ac:dyDescent="0.25">
      <c r="A88" s="452" t="s">
        <v>183</v>
      </c>
      <c r="B88" s="453"/>
      <c r="C88" s="453"/>
      <c r="D88" s="453"/>
      <c r="E88" s="453"/>
      <c r="F88" s="453"/>
      <c r="G88" s="453"/>
      <c r="H88" s="453"/>
      <c r="I88" s="454"/>
      <c r="J88" s="256">
        <f>J74+J78</f>
        <v>16284516.689999999</v>
      </c>
      <c r="K88" s="247"/>
      <c r="L88" s="247"/>
      <c r="M88" s="247">
        <f>SUM(J88:L88)</f>
        <v>16284516.689999999</v>
      </c>
      <c r="N88" s="212"/>
      <c r="O88" s="212"/>
      <c r="P88" s="212"/>
    </row>
    <row r="89" spans="1:16" ht="16.5" x14ac:dyDescent="0.25">
      <c r="A89" s="433" t="s">
        <v>202</v>
      </c>
      <c r="B89" s="434"/>
      <c r="C89" s="434"/>
      <c r="D89" s="434"/>
      <c r="E89" s="434"/>
      <c r="F89" s="434"/>
      <c r="G89" s="434"/>
      <c r="H89" s="434"/>
      <c r="I89" s="435"/>
      <c r="J89" s="250">
        <f>J88/55</f>
        <v>296082.12163636362</v>
      </c>
      <c r="K89" s="250"/>
      <c r="L89" s="250"/>
      <c r="M89" s="250"/>
      <c r="N89" s="212"/>
      <c r="O89" s="212"/>
      <c r="P89" s="212"/>
    </row>
    <row r="90" spans="1:16" ht="16.5" x14ac:dyDescent="0.25">
      <c r="A90" s="212"/>
      <c r="B90" s="212"/>
      <c r="C90" s="212"/>
      <c r="D90" s="212"/>
      <c r="E90" s="212"/>
      <c r="F90" s="212"/>
      <c r="G90" s="212"/>
      <c r="H90" s="212"/>
      <c r="I90" s="212"/>
      <c r="J90" s="176"/>
      <c r="K90" s="212"/>
      <c r="L90" s="212"/>
      <c r="M90" s="212"/>
      <c r="N90" s="212"/>
      <c r="O90" s="212"/>
      <c r="P90" s="212"/>
    </row>
    <row r="91" spans="1:16" ht="16.5" x14ac:dyDescent="0.25">
      <c r="A91" s="212"/>
      <c r="B91" s="212"/>
      <c r="C91" s="212"/>
      <c r="D91" s="212"/>
      <c r="E91" s="212"/>
      <c r="F91" s="212"/>
      <c r="G91" s="212"/>
      <c r="H91" s="212"/>
      <c r="I91" s="212"/>
      <c r="J91" s="212"/>
      <c r="K91" s="212"/>
      <c r="L91" s="212"/>
      <c r="M91" s="212"/>
      <c r="N91" s="212"/>
      <c r="O91" s="212"/>
      <c r="P91" s="212"/>
    </row>
    <row r="92" spans="1:16" ht="16.5" x14ac:dyDescent="0.25">
      <c r="A92" s="212"/>
      <c r="B92" s="237"/>
      <c r="C92" s="237"/>
      <c r="D92" s="237"/>
      <c r="E92" s="237"/>
      <c r="F92" s="237"/>
      <c r="G92" s="237"/>
      <c r="H92" s="237"/>
      <c r="I92" s="237"/>
      <c r="J92" s="237"/>
      <c r="K92" s="212" t="s">
        <v>352</v>
      </c>
      <c r="L92" s="212"/>
      <c r="M92" s="237"/>
      <c r="N92" s="212"/>
      <c r="O92" s="212"/>
      <c r="P92" s="212"/>
    </row>
    <row r="93" spans="1:16" ht="35.25" customHeight="1" x14ac:dyDescent="0.25">
      <c r="A93" s="522" t="s">
        <v>292</v>
      </c>
      <c r="B93" s="523"/>
      <c r="C93" s="523"/>
      <c r="D93" s="523"/>
      <c r="E93" s="523"/>
      <c r="F93" s="523"/>
      <c r="G93" s="523"/>
      <c r="H93" s="523"/>
      <c r="I93" s="523"/>
      <c r="J93" s="523"/>
      <c r="K93" s="523"/>
      <c r="L93" s="523"/>
      <c r="M93" s="524"/>
      <c r="N93" s="212"/>
      <c r="O93" s="212"/>
      <c r="P93" s="212"/>
    </row>
    <row r="94" spans="1:16" ht="30" customHeight="1" x14ac:dyDescent="0.25">
      <c r="A94" s="516" t="s">
        <v>314</v>
      </c>
      <c r="B94" s="517"/>
      <c r="C94" s="517"/>
      <c r="D94" s="517"/>
      <c r="E94" s="517"/>
      <c r="F94" s="517"/>
      <c r="G94" s="517"/>
      <c r="H94" s="517"/>
      <c r="I94" s="518"/>
      <c r="J94" s="236" t="s">
        <v>198</v>
      </c>
      <c r="K94" s="201" t="s">
        <v>199</v>
      </c>
      <c r="L94" s="201" t="s">
        <v>200</v>
      </c>
      <c r="M94" s="201" t="s">
        <v>183</v>
      </c>
      <c r="N94" s="212"/>
      <c r="O94" s="212"/>
      <c r="P94" s="212"/>
    </row>
    <row r="95" spans="1:16" ht="16.5" x14ac:dyDescent="0.25">
      <c r="A95" s="458" t="s">
        <v>170</v>
      </c>
      <c r="B95" s="459"/>
      <c r="C95" s="459"/>
      <c r="D95" s="459"/>
      <c r="E95" s="459"/>
      <c r="F95" s="459"/>
      <c r="G95" s="459"/>
      <c r="H95" s="459"/>
      <c r="I95" s="460"/>
      <c r="J95" s="225">
        <f>SUM(J96:J98)</f>
        <v>1889315.9763999998</v>
      </c>
      <c r="K95" s="204"/>
      <c r="L95" s="204"/>
      <c r="M95" s="175">
        <f>SUM(J95:L95)</f>
        <v>1889315.9763999998</v>
      </c>
      <c r="N95" s="212"/>
      <c r="O95" s="212"/>
      <c r="P95" s="212"/>
    </row>
    <row r="96" spans="1:16" ht="16.5" x14ac:dyDescent="0.25">
      <c r="A96" s="449" t="s">
        <v>178</v>
      </c>
      <c r="B96" s="450"/>
      <c r="C96" s="450"/>
      <c r="D96" s="450"/>
      <c r="E96" s="450"/>
      <c r="F96" s="450"/>
      <c r="G96" s="450"/>
      <c r="H96" s="450"/>
      <c r="I96" s="451"/>
      <c r="J96" s="177">
        <f>2664660.56*69%</f>
        <v>1838615.7863999999</v>
      </c>
      <c r="K96" s="172"/>
      <c r="L96" s="172"/>
      <c r="M96" s="168">
        <f t="shared" ref="M96:M108" si="6">SUM(J96:L96)</f>
        <v>1838615.7863999999</v>
      </c>
      <c r="N96" s="212"/>
      <c r="O96" s="212"/>
      <c r="P96" s="212"/>
    </row>
    <row r="97" spans="1:16" ht="48.75" customHeight="1" x14ac:dyDescent="0.25">
      <c r="A97" s="449" t="s">
        <v>297</v>
      </c>
      <c r="B97" s="450"/>
      <c r="C97" s="450"/>
      <c r="D97" s="450"/>
      <c r="E97" s="450"/>
      <c r="F97" s="450"/>
      <c r="G97" s="450"/>
      <c r="H97" s="450"/>
      <c r="I97" s="451"/>
      <c r="J97" s="177">
        <f>3197.74</f>
        <v>3197.74</v>
      </c>
      <c r="K97" s="172"/>
      <c r="L97" s="172"/>
      <c r="M97" s="168">
        <f t="shared" si="6"/>
        <v>3197.74</v>
      </c>
      <c r="N97" s="212"/>
      <c r="O97" s="212"/>
      <c r="P97" s="212"/>
    </row>
    <row r="98" spans="1:16" ht="16.5" x14ac:dyDescent="0.25">
      <c r="A98" s="433" t="s">
        <v>175</v>
      </c>
      <c r="B98" s="434"/>
      <c r="C98" s="434"/>
      <c r="D98" s="434"/>
      <c r="E98" s="434"/>
      <c r="F98" s="434"/>
      <c r="G98" s="434"/>
      <c r="H98" s="434"/>
      <c r="I98" s="435"/>
      <c r="J98" s="177">
        <v>47502.45</v>
      </c>
      <c r="K98" s="172"/>
      <c r="L98" s="172"/>
      <c r="M98" s="168">
        <f t="shared" si="6"/>
        <v>47502.45</v>
      </c>
      <c r="N98" s="212"/>
      <c r="O98" s="212"/>
      <c r="P98" s="212"/>
    </row>
    <row r="99" spans="1:16" ht="16.5" x14ac:dyDescent="0.25">
      <c r="A99" s="452" t="s">
        <v>177</v>
      </c>
      <c r="B99" s="453"/>
      <c r="C99" s="453"/>
      <c r="D99" s="453"/>
      <c r="E99" s="453"/>
      <c r="F99" s="453"/>
      <c r="G99" s="453"/>
      <c r="H99" s="453"/>
      <c r="I99" s="454"/>
      <c r="J99" s="206">
        <f>J100+J101+J105+J107+J108</f>
        <v>1170683.0736000002</v>
      </c>
      <c r="K99" s="175"/>
      <c r="L99" s="204"/>
      <c r="M99" s="175">
        <f t="shared" si="6"/>
        <v>1170683.0736000002</v>
      </c>
      <c r="N99" s="212"/>
      <c r="O99" s="212"/>
      <c r="P99" s="212"/>
    </row>
    <row r="100" spans="1:16" ht="16.5" x14ac:dyDescent="0.25">
      <c r="A100" s="449" t="s">
        <v>179</v>
      </c>
      <c r="B100" s="450"/>
      <c r="C100" s="450"/>
      <c r="D100" s="450"/>
      <c r="E100" s="450"/>
      <c r="F100" s="450"/>
      <c r="G100" s="450"/>
      <c r="H100" s="450"/>
      <c r="I100" s="451"/>
      <c r="J100" s="177">
        <f>2664660.56-J96</f>
        <v>826044.77360000019</v>
      </c>
      <c r="K100" s="172"/>
      <c r="L100" s="172"/>
      <c r="M100" s="168">
        <f t="shared" si="6"/>
        <v>826044.77360000019</v>
      </c>
      <c r="N100" s="176"/>
      <c r="O100" s="212"/>
      <c r="P100" s="212"/>
    </row>
    <row r="101" spans="1:16" ht="16.5" x14ac:dyDescent="0.25">
      <c r="A101" s="433" t="s">
        <v>171</v>
      </c>
      <c r="B101" s="434"/>
      <c r="C101" s="434"/>
      <c r="D101" s="434"/>
      <c r="E101" s="434"/>
      <c r="F101" s="434"/>
      <c r="G101" s="434"/>
      <c r="H101" s="434"/>
      <c r="I101" s="435"/>
      <c r="J101" s="177">
        <f>SUM(J102:J104)</f>
        <v>108421.98059222479</v>
      </c>
      <c r="K101" s="172"/>
      <c r="L101" s="172"/>
      <c r="M101" s="168">
        <f t="shared" si="6"/>
        <v>108421.98059222479</v>
      </c>
      <c r="N101" s="212"/>
      <c r="O101" s="212"/>
      <c r="P101" s="212"/>
    </row>
    <row r="102" spans="1:16" ht="16.5" x14ac:dyDescent="0.25">
      <c r="A102" s="433" t="s">
        <v>172</v>
      </c>
      <c r="B102" s="434"/>
      <c r="C102" s="434"/>
      <c r="D102" s="434"/>
      <c r="E102" s="434"/>
      <c r="F102" s="434"/>
      <c r="G102" s="434"/>
      <c r="H102" s="434"/>
      <c r="I102" s="435"/>
      <c r="J102" s="177">
        <f>2933/49542*4125*90%</f>
        <v>219.78851277703768</v>
      </c>
      <c r="K102" s="172"/>
      <c r="L102" s="172"/>
      <c r="M102" s="168">
        <f t="shared" si="6"/>
        <v>219.78851277703768</v>
      </c>
      <c r="N102" s="212"/>
      <c r="O102" s="212"/>
      <c r="P102" s="212"/>
    </row>
    <row r="103" spans="1:16" ht="16.5" x14ac:dyDescent="0.25">
      <c r="A103" s="433" t="s">
        <v>173</v>
      </c>
      <c r="B103" s="434"/>
      <c r="C103" s="434"/>
      <c r="D103" s="434"/>
      <c r="E103" s="434"/>
      <c r="F103" s="434"/>
      <c r="G103" s="434"/>
      <c r="H103" s="434"/>
      <c r="I103" s="435"/>
      <c r="J103" s="177">
        <f>2395860/49542*4125*50%</f>
        <v>99742.869686326754</v>
      </c>
      <c r="K103" s="172"/>
      <c r="L103" s="172"/>
      <c r="M103" s="168">
        <f t="shared" si="6"/>
        <v>99742.869686326754</v>
      </c>
      <c r="N103" s="212"/>
      <c r="O103" s="212"/>
      <c r="P103" s="212"/>
    </row>
    <row r="104" spans="1:16" ht="16.5" x14ac:dyDescent="0.25">
      <c r="A104" s="433" t="s">
        <v>174</v>
      </c>
      <c r="B104" s="434"/>
      <c r="C104" s="434"/>
      <c r="D104" s="434"/>
      <c r="E104" s="434"/>
      <c r="F104" s="434"/>
      <c r="G104" s="434"/>
      <c r="H104" s="434"/>
      <c r="I104" s="435"/>
      <c r="J104" s="177">
        <f>(45055+56543)/49542*4125</f>
        <v>8459.3223931209886</v>
      </c>
      <c r="K104" s="172"/>
      <c r="L104" s="172"/>
      <c r="M104" s="168">
        <f t="shared" si="6"/>
        <v>8459.3223931209886</v>
      </c>
      <c r="N104" s="212"/>
      <c r="O104" s="212"/>
      <c r="P104" s="212"/>
    </row>
    <row r="105" spans="1:16" ht="16.5" x14ac:dyDescent="0.25">
      <c r="A105" s="433" t="s">
        <v>180</v>
      </c>
      <c r="B105" s="434"/>
      <c r="C105" s="434"/>
      <c r="D105" s="434"/>
      <c r="E105" s="434"/>
      <c r="F105" s="434"/>
      <c r="G105" s="434"/>
      <c r="H105" s="434"/>
      <c r="I105" s="435"/>
      <c r="J105" s="177">
        <v>6715.26</v>
      </c>
      <c r="K105" s="172"/>
      <c r="L105" s="172"/>
      <c r="M105" s="168">
        <f t="shared" si="6"/>
        <v>6715.26</v>
      </c>
      <c r="N105" s="212"/>
      <c r="O105" s="212"/>
      <c r="P105" s="212"/>
    </row>
    <row r="106" spans="1:16" ht="16.5" x14ac:dyDescent="0.25">
      <c r="A106" s="433" t="s">
        <v>181</v>
      </c>
      <c r="B106" s="434"/>
      <c r="C106" s="434"/>
      <c r="D106" s="434"/>
      <c r="E106" s="434"/>
      <c r="F106" s="434"/>
      <c r="G106" s="434"/>
      <c r="H106" s="434"/>
      <c r="I106" s="435"/>
      <c r="J106" s="177"/>
      <c r="K106" s="172"/>
      <c r="L106" s="172"/>
      <c r="M106" s="168">
        <f t="shared" si="6"/>
        <v>0</v>
      </c>
      <c r="N106" s="212"/>
      <c r="O106" s="212"/>
      <c r="P106" s="212"/>
    </row>
    <row r="107" spans="1:16" ht="45.75" customHeight="1" x14ac:dyDescent="0.25">
      <c r="A107" s="464" t="s">
        <v>295</v>
      </c>
      <c r="B107" s="465"/>
      <c r="C107" s="465"/>
      <c r="D107" s="465"/>
      <c r="E107" s="465"/>
      <c r="F107" s="465"/>
      <c r="G107" s="465"/>
      <c r="H107" s="465"/>
      <c r="I107" s="466"/>
      <c r="J107" s="177">
        <v>29187.63</v>
      </c>
      <c r="K107" s="172"/>
      <c r="L107" s="172"/>
      <c r="M107" s="168">
        <f t="shared" si="6"/>
        <v>29187.63</v>
      </c>
      <c r="N107" s="212"/>
      <c r="O107" s="212"/>
      <c r="P107" s="212"/>
    </row>
    <row r="108" spans="1:16" ht="116.25" customHeight="1" x14ac:dyDescent="0.25">
      <c r="A108" s="449" t="s">
        <v>296</v>
      </c>
      <c r="B108" s="450"/>
      <c r="C108" s="450"/>
      <c r="D108" s="450"/>
      <c r="E108" s="450"/>
      <c r="F108" s="450"/>
      <c r="G108" s="450"/>
      <c r="H108" s="450"/>
      <c r="I108" s="451"/>
      <c r="J108" s="177">
        <f>203332.49+42803.85+62599.07-J101</f>
        <v>200313.42940777517</v>
      </c>
      <c r="K108" s="172"/>
      <c r="L108" s="172"/>
      <c r="M108" s="168">
        <f t="shared" si="6"/>
        <v>200313.42940777517</v>
      </c>
      <c r="N108" s="212"/>
      <c r="O108" s="212"/>
      <c r="P108" s="212"/>
    </row>
    <row r="109" spans="1:16" ht="16.5" x14ac:dyDescent="0.25">
      <c r="A109" s="452" t="s">
        <v>183</v>
      </c>
      <c r="B109" s="453"/>
      <c r="C109" s="453"/>
      <c r="D109" s="453"/>
      <c r="E109" s="453"/>
      <c r="F109" s="453"/>
      <c r="G109" s="453"/>
      <c r="H109" s="453"/>
      <c r="I109" s="454"/>
      <c r="J109" s="256">
        <f>J95+J99</f>
        <v>3059999.05</v>
      </c>
      <c r="K109" s="247"/>
      <c r="L109" s="247"/>
      <c r="M109" s="247">
        <f>SUM(J109:L109)</f>
        <v>3059999.05</v>
      </c>
      <c r="N109" s="176"/>
      <c r="O109" s="212"/>
      <c r="P109" s="212"/>
    </row>
    <row r="110" spans="1:16" ht="16.5" x14ac:dyDescent="0.25">
      <c r="A110" s="433" t="s">
        <v>202</v>
      </c>
      <c r="B110" s="434"/>
      <c r="C110" s="434"/>
      <c r="D110" s="434"/>
      <c r="E110" s="434"/>
      <c r="F110" s="434"/>
      <c r="G110" s="434"/>
      <c r="H110" s="434"/>
      <c r="I110" s="435"/>
      <c r="J110" s="250">
        <f>J109/G10</f>
        <v>278181.73181818181</v>
      </c>
      <c r="K110" s="250"/>
      <c r="L110" s="250"/>
      <c r="M110" s="250"/>
      <c r="N110" s="212"/>
      <c r="O110" s="212"/>
      <c r="P110" s="212"/>
    </row>
    <row r="111" spans="1:16" ht="16.5" x14ac:dyDescent="0.25">
      <c r="A111" s="212"/>
      <c r="B111" s="212"/>
      <c r="C111" s="212"/>
      <c r="D111" s="212"/>
      <c r="E111" s="212"/>
      <c r="F111" s="212"/>
      <c r="G111" s="212"/>
      <c r="H111" s="212"/>
      <c r="I111" s="212"/>
      <c r="J111" s="176"/>
      <c r="K111" s="212"/>
      <c r="L111" s="212"/>
      <c r="M111" s="212"/>
      <c r="N111" s="212"/>
      <c r="O111" s="212"/>
      <c r="P111" s="212"/>
    </row>
    <row r="112" spans="1:16" ht="16.5" x14ac:dyDescent="0.25">
      <c r="A112" s="212"/>
      <c r="B112" s="212"/>
      <c r="C112" s="212"/>
      <c r="D112" s="212"/>
      <c r="E112" s="212"/>
      <c r="F112" s="212"/>
      <c r="G112" s="212"/>
      <c r="H112" s="212"/>
      <c r="I112" s="212"/>
      <c r="J112" s="212"/>
      <c r="K112" s="212"/>
      <c r="L112" s="212"/>
      <c r="M112" s="212"/>
      <c r="N112" s="212"/>
      <c r="O112" s="212"/>
      <c r="P112" s="212"/>
    </row>
    <row r="113" spans="1:16" ht="16.5" x14ac:dyDescent="0.25">
      <c r="A113" s="212"/>
      <c r="B113" s="212"/>
      <c r="C113" s="212"/>
      <c r="D113" s="212"/>
      <c r="E113" s="212"/>
      <c r="F113" s="212"/>
      <c r="G113" s="212"/>
      <c r="H113" s="212"/>
      <c r="I113" s="212"/>
      <c r="J113" s="212"/>
      <c r="K113" s="212" t="s">
        <v>353</v>
      </c>
      <c r="L113" s="212"/>
      <c r="M113" s="212"/>
      <c r="N113" s="212"/>
      <c r="O113" s="212"/>
      <c r="P113" s="212"/>
    </row>
    <row r="114" spans="1:16" ht="25.5" customHeight="1" x14ac:dyDescent="0.25">
      <c r="A114" s="444" t="s">
        <v>293</v>
      </c>
      <c r="B114" s="444"/>
      <c r="C114" s="444"/>
      <c r="D114" s="444"/>
      <c r="E114" s="444"/>
      <c r="F114" s="444"/>
      <c r="G114" s="444"/>
      <c r="H114" s="444"/>
      <c r="I114" s="444"/>
      <c r="J114" s="444"/>
      <c r="K114" s="444"/>
      <c r="L114" s="444"/>
      <c r="M114" s="444"/>
      <c r="N114" s="212"/>
      <c r="O114" s="212"/>
      <c r="P114" s="212"/>
    </row>
    <row r="115" spans="1:16" ht="30" customHeight="1" x14ac:dyDescent="0.25">
      <c r="A115" s="516" t="s">
        <v>314</v>
      </c>
      <c r="B115" s="517"/>
      <c r="C115" s="517"/>
      <c r="D115" s="517"/>
      <c r="E115" s="517"/>
      <c r="F115" s="517"/>
      <c r="G115" s="517"/>
      <c r="H115" s="517"/>
      <c r="I115" s="518"/>
      <c r="J115" s="236" t="s">
        <v>198</v>
      </c>
      <c r="K115" s="201" t="s">
        <v>199</v>
      </c>
      <c r="L115" s="201" t="s">
        <v>200</v>
      </c>
      <c r="M115" s="201" t="s">
        <v>183</v>
      </c>
      <c r="N115" s="212"/>
      <c r="O115" s="212"/>
      <c r="P115" s="212"/>
    </row>
    <row r="116" spans="1:16" ht="16.5" x14ac:dyDescent="0.25">
      <c r="A116" s="458" t="s">
        <v>170</v>
      </c>
      <c r="B116" s="459"/>
      <c r="C116" s="459"/>
      <c r="D116" s="459"/>
      <c r="E116" s="459"/>
      <c r="F116" s="459"/>
      <c r="G116" s="459"/>
      <c r="H116" s="459"/>
      <c r="I116" s="460"/>
      <c r="J116" s="225">
        <f>SUM(J117:J119)</f>
        <v>2415038.6907999995</v>
      </c>
      <c r="K116" s="204"/>
      <c r="L116" s="204"/>
      <c r="M116" s="175">
        <f>SUM(J116:L116)</f>
        <v>2415038.6907999995</v>
      </c>
      <c r="N116" s="212"/>
      <c r="O116" s="212"/>
      <c r="P116" s="212"/>
    </row>
    <row r="117" spans="1:16" ht="16.5" x14ac:dyDescent="0.25">
      <c r="A117" s="449" t="s">
        <v>178</v>
      </c>
      <c r="B117" s="450"/>
      <c r="C117" s="450"/>
      <c r="D117" s="450"/>
      <c r="E117" s="450"/>
      <c r="F117" s="450"/>
      <c r="G117" s="450"/>
      <c r="H117" s="450"/>
      <c r="I117" s="451"/>
      <c r="J117" s="177">
        <f>3406131.32*69%</f>
        <v>2350230.6107999999</v>
      </c>
      <c r="K117" s="172"/>
      <c r="L117" s="172"/>
      <c r="M117" s="168">
        <f t="shared" ref="M117:M129" si="7">SUM(J117:L117)</f>
        <v>2350230.6107999999</v>
      </c>
      <c r="N117" s="212"/>
      <c r="O117" s="212"/>
      <c r="P117" s="212"/>
    </row>
    <row r="118" spans="1:16" ht="46.5" customHeight="1" x14ac:dyDescent="0.25">
      <c r="A118" s="449" t="s">
        <v>297</v>
      </c>
      <c r="B118" s="450"/>
      <c r="C118" s="450"/>
      <c r="D118" s="450"/>
      <c r="E118" s="450"/>
      <c r="F118" s="450"/>
      <c r="G118" s="450"/>
      <c r="H118" s="450"/>
      <c r="I118" s="451"/>
      <c r="J118" s="177">
        <v>4087.55</v>
      </c>
      <c r="K118" s="172"/>
      <c r="L118" s="172"/>
      <c r="M118" s="168">
        <f t="shared" si="7"/>
        <v>4087.55</v>
      </c>
      <c r="N118" s="212"/>
      <c r="O118" s="212"/>
      <c r="P118" s="212"/>
    </row>
    <row r="119" spans="1:16" ht="16.5" x14ac:dyDescent="0.25">
      <c r="A119" s="433" t="s">
        <v>175</v>
      </c>
      <c r="B119" s="434"/>
      <c r="C119" s="434"/>
      <c r="D119" s="434"/>
      <c r="E119" s="434"/>
      <c r="F119" s="434"/>
      <c r="G119" s="434"/>
      <c r="H119" s="434"/>
      <c r="I119" s="435"/>
      <c r="J119" s="177">
        <v>60720.53</v>
      </c>
      <c r="K119" s="172"/>
      <c r="L119" s="172"/>
      <c r="M119" s="168">
        <f t="shared" si="7"/>
        <v>60720.53</v>
      </c>
      <c r="N119" s="212"/>
      <c r="O119" s="212"/>
      <c r="P119" s="212"/>
    </row>
    <row r="120" spans="1:16" ht="16.5" x14ac:dyDescent="0.25">
      <c r="A120" s="452" t="s">
        <v>177</v>
      </c>
      <c r="B120" s="453"/>
      <c r="C120" s="453"/>
      <c r="D120" s="453"/>
      <c r="E120" s="453"/>
      <c r="F120" s="453"/>
      <c r="G120" s="453"/>
      <c r="H120" s="453"/>
      <c r="I120" s="454"/>
      <c r="J120" s="206">
        <f>J121+J122+J126+J128+J129</f>
        <v>1496438.3591999998</v>
      </c>
      <c r="K120" s="204"/>
      <c r="L120" s="204"/>
      <c r="M120" s="175">
        <f t="shared" si="7"/>
        <v>1496438.3591999998</v>
      </c>
      <c r="N120" s="212"/>
      <c r="O120" s="212"/>
      <c r="P120" s="212"/>
    </row>
    <row r="121" spans="1:16" ht="16.5" x14ac:dyDescent="0.25">
      <c r="A121" s="449" t="s">
        <v>179</v>
      </c>
      <c r="B121" s="450"/>
      <c r="C121" s="450"/>
      <c r="D121" s="450"/>
      <c r="E121" s="450"/>
      <c r="F121" s="450"/>
      <c r="G121" s="450"/>
      <c r="H121" s="450"/>
      <c r="I121" s="451"/>
      <c r="J121" s="177">
        <f>3406131.32-J117</f>
        <v>1055900.7091999999</v>
      </c>
      <c r="K121" s="168"/>
      <c r="L121" s="172"/>
      <c r="M121" s="168">
        <f t="shared" si="7"/>
        <v>1055900.7091999999</v>
      </c>
      <c r="N121" s="176"/>
      <c r="O121" s="212"/>
      <c r="P121" s="212"/>
    </row>
    <row r="122" spans="1:16" ht="16.5" x14ac:dyDescent="0.25">
      <c r="A122" s="433" t="s">
        <v>171</v>
      </c>
      <c r="B122" s="434"/>
      <c r="C122" s="434"/>
      <c r="D122" s="434"/>
      <c r="E122" s="434"/>
      <c r="F122" s="434"/>
      <c r="G122" s="434"/>
      <c r="H122" s="434"/>
      <c r="I122" s="435"/>
      <c r="J122" s="177">
        <f>SUM(J123:J125)</f>
        <v>78076.483686568972</v>
      </c>
      <c r="K122" s="172"/>
      <c r="L122" s="172"/>
      <c r="M122" s="168">
        <f t="shared" si="7"/>
        <v>78076.483686568972</v>
      </c>
      <c r="N122" s="212"/>
      <c r="O122" s="212"/>
      <c r="P122" s="212"/>
    </row>
    <row r="123" spans="1:16" ht="16.5" x14ac:dyDescent="0.25">
      <c r="A123" s="433" t="s">
        <v>172</v>
      </c>
      <c r="B123" s="434"/>
      <c r="C123" s="434"/>
      <c r="D123" s="434"/>
      <c r="E123" s="434"/>
      <c r="F123" s="434"/>
      <c r="G123" s="434"/>
      <c r="H123" s="434"/>
      <c r="I123" s="435"/>
      <c r="J123" s="177">
        <f>25933/49542*2924*90%</f>
        <v>1377.5237737677121</v>
      </c>
      <c r="K123" s="172"/>
      <c r="L123" s="172"/>
      <c r="M123" s="168">
        <f t="shared" si="7"/>
        <v>1377.5237737677121</v>
      </c>
      <c r="N123" s="212"/>
      <c r="O123" s="212"/>
      <c r="P123" s="212"/>
    </row>
    <row r="124" spans="1:16" ht="16.5" x14ac:dyDescent="0.25">
      <c r="A124" s="433" t="s">
        <v>173</v>
      </c>
      <c r="B124" s="434"/>
      <c r="C124" s="434"/>
      <c r="D124" s="434"/>
      <c r="E124" s="434"/>
      <c r="F124" s="434"/>
      <c r="G124" s="434"/>
      <c r="H124" s="434"/>
      <c r="I124" s="435"/>
      <c r="J124" s="177">
        <f>2395860/49542*2924*50%</f>
        <v>70702.582051592588</v>
      </c>
      <c r="K124" s="172"/>
      <c r="L124" s="172"/>
      <c r="M124" s="168">
        <f t="shared" si="7"/>
        <v>70702.582051592588</v>
      </c>
      <c r="N124" s="212"/>
      <c r="O124" s="212"/>
      <c r="P124" s="212"/>
    </row>
    <row r="125" spans="1:16" ht="16.5" x14ac:dyDescent="0.25">
      <c r="A125" s="433" t="s">
        <v>174</v>
      </c>
      <c r="B125" s="434"/>
      <c r="C125" s="434"/>
      <c r="D125" s="434"/>
      <c r="E125" s="434"/>
      <c r="F125" s="434"/>
      <c r="G125" s="434"/>
      <c r="H125" s="434"/>
      <c r="I125" s="435"/>
      <c r="J125" s="177">
        <f>(45055+56543)/49542*2924</f>
        <v>5996.3778612086717</v>
      </c>
      <c r="K125" s="172"/>
      <c r="L125" s="172"/>
      <c r="M125" s="168">
        <f t="shared" si="7"/>
        <v>5996.3778612086717</v>
      </c>
      <c r="N125" s="212"/>
      <c r="O125" s="212"/>
      <c r="P125" s="212"/>
    </row>
    <row r="126" spans="1:16" ht="16.5" x14ac:dyDescent="0.25">
      <c r="A126" s="433" t="s">
        <v>180</v>
      </c>
      <c r="B126" s="434"/>
      <c r="C126" s="434"/>
      <c r="D126" s="434"/>
      <c r="E126" s="434"/>
      <c r="F126" s="434"/>
      <c r="G126" s="434"/>
      <c r="H126" s="434"/>
      <c r="I126" s="435"/>
      <c r="J126" s="177">
        <v>8583.85</v>
      </c>
      <c r="K126" s="172"/>
      <c r="L126" s="172"/>
      <c r="M126" s="168">
        <f t="shared" si="7"/>
        <v>8583.85</v>
      </c>
      <c r="N126" s="212"/>
      <c r="O126" s="212"/>
      <c r="P126" s="212"/>
    </row>
    <row r="127" spans="1:16" ht="16.5" x14ac:dyDescent="0.25">
      <c r="A127" s="433" t="s">
        <v>181</v>
      </c>
      <c r="B127" s="434"/>
      <c r="C127" s="434"/>
      <c r="D127" s="434"/>
      <c r="E127" s="434"/>
      <c r="F127" s="434"/>
      <c r="G127" s="434"/>
      <c r="H127" s="434"/>
      <c r="I127" s="435"/>
      <c r="J127" s="177"/>
      <c r="K127" s="172"/>
      <c r="L127" s="172"/>
      <c r="M127" s="168">
        <f t="shared" si="7"/>
        <v>0</v>
      </c>
      <c r="N127" s="212"/>
      <c r="O127" s="212"/>
      <c r="P127" s="212"/>
    </row>
    <row r="128" spans="1:16" ht="48" customHeight="1" x14ac:dyDescent="0.25">
      <c r="A128" s="464" t="s">
        <v>295</v>
      </c>
      <c r="B128" s="465"/>
      <c r="C128" s="465"/>
      <c r="D128" s="465"/>
      <c r="E128" s="465"/>
      <c r="F128" s="465"/>
      <c r="G128" s="465"/>
      <c r="H128" s="465"/>
      <c r="I128" s="466"/>
      <c r="J128" s="177">
        <v>37309.4</v>
      </c>
      <c r="K128" s="172"/>
      <c r="L128" s="172"/>
      <c r="M128" s="168">
        <f t="shared" si="7"/>
        <v>37309.4</v>
      </c>
      <c r="N128" s="212"/>
      <c r="O128" s="212"/>
      <c r="P128" s="212"/>
    </row>
    <row r="129" spans="1:16" ht="105" customHeight="1" x14ac:dyDescent="0.25">
      <c r="A129" s="449" t="s">
        <v>296</v>
      </c>
      <c r="B129" s="450"/>
      <c r="C129" s="450"/>
      <c r="D129" s="450"/>
      <c r="E129" s="450"/>
      <c r="F129" s="450"/>
      <c r="G129" s="450"/>
      <c r="H129" s="450"/>
      <c r="I129" s="451"/>
      <c r="J129" s="177">
        <f>259911.96+54714.49+80017.95-J122</f>
        <v>316567.91631343105</v>
      </c>
      <c r="K129" s="172"/>
      <c r="L129" s="172"/>
      <c r="M129" s="168">
        <f t="shared" si="7"/>
        <v>316567.91631343105</v>
      </c>
      <c r="N129" s="212"/>
      <c r="O129" s="212"/>
      <c r="P129" s="212"/>
    </row>
    <row r="130" spans="1:16" ht="16.5" x14ac:dyDescent="0.25">
      <c r="A130" s="452" t="s">
        <v>183</v>
      </c>
      <c r="B130" s="453"/>
      <c r="C130" s="453"/>
      <c r="D130" s="453"/>
      <c r="E130" s="453"/>
      <c r="F130" s="453"/>
      <c r="G130" s="453"/>
      <c r="H130" s="453"/>
      <c r="I130" s="454"/>
      <c r="J130" s="256">
        <f>J116+J120</f>
        <v>3911477.0499999993</v>
      </c>
      <c r="K130" s="247"/>
      <c r="L130" s="247"/>
      <c r="M130" s="247">
        <f>SUM(J130:L130)</f>
        <v>3911477.0499999993</v>
      </c>
      <c r="N130" s="212"/>
      <c r="O130" s="212"/>
      <c r="P130" s="212"/>
    </row>
    <row r="131" spans="1:16" ht="16.5" x14ac:dyDescent="0.25">
      <c r="A131" s="433" t="s">
        <v>202</v>
      </c>
      <c r="B131" s="434"/>
      <c r="C131" s="434"/>
      <c r="D131" s="434"/>
      <c r="E131" s="434"/>
      <c r="F131" s="434"/>
      <c r="G131" s="434"/>
      <c r="H131" s="434"/>
      <c r="I131" s="435"/>
      <c r="J131" s="250">
        <f>J130/G9</f>
        <v>170064.21956521735</v>
      </c>
      <c r="K131" s="250"/>
      <c r="L131" s="250"/>
      <c r="M131" s="250"/>
      <c r="N131" s="212"/>
      <c r="O131" s="212"/>
      <c r="P131" s="212"/>
    </row>
    <row r="132" spans="1:16" ht="16.5" x14ac:dyDescent="0.25">
      <c r="A132" s="212"/>
      <c r="B132" s="212"/>
      <c r="C132" s="212"/>
      <c r="D132" s="212"/>
      <c r="E132" s="212"/>
      <c r="F132" s="212"/>
      <c r="G132" s="212"/>
      <c r="H132" s="212"/>
      <c r="I132" s="212"/>
      <c r="J132" s="255"/>
      <c r="K132" s="255"/>
      <c r="L132" s="255"/>
      <c r="M132" s="255"/>
      <c r="N132" s="212"/>
      <c r="O132" s="212"/>
      <c r="P132" s="212"/>
    </row>
    <row r="133" spans="1:16" ht="16.5" x14ac:dyDescent="0.25">
      <c r="A133" s="212"/>
      <c r="B133" s="212"/>
      <c r="C133" s="212"/>
      <c r="D133" s="212"/>
      <c r="E133" s="212"/>
      <c r="F133" s="212"/>
      <c r="G133" s="212"/>
      <c r="H133" s="212"/>
      <c r="I133" s="212"/>
      <c r="J133" s="212"/>
      <c r="K133" s="212"/>
      <c r="L133" s="212"/>
      <c r="M133" s="212"/>
      <c r="N133" s="212"/>
      <c r="O133" s="212"/>
      <c r="P133" s="212"/>
    </row>
    <row r="134" spans="1:16" ht="16.5" x14ac:dyDescent="0.25">
      <c r="A134" s="212"/>
      <c r="B134" s="212"/>
      <c r="C134" s="212"/>
      <c r="D134" s="212"/>
      <c r="E134" s="212"/>
      <c r="F134" s="212"/>
      <c r="G134" s="212"/>
      <c r="H134" s="212"/>
      <c r="I134" s="212"/>
      <c r="J134" s="212"/>
      <c r="K134" s="212" t="s">
        <v>347</v>
      </c>
      <c r="L134" s="212"/>
      <c r="M134" s="212"/>
      <c r="N134" s="212"/>
      <c r="O134" s="212"/>
      <c r="P134" s="212"/>
    </row>
    <row r="135" spans="1:16" ht="16.5" x14ac:dyDescent="0.25">
      <c r="A135" s="444" t="s">
        <v>326</v>
      </c>
      <c r="B135" s="444"/>
      <c r="C135" s="444"/>
      <c r="D135" s="444"/>
      <c r="E135" s="444"/>
      <c r="F135" s="444"/>
      <c r="G135" s="444"/>
      <c r="H135" s="444"/>
      <c r="I135" s="444"/>
      <c r="J135" s="444"/>
      <c r="K135" s="444"/>
      <c r="L135" s="444"/>
      <c r="M135" s="444"/>
      <c r="N135" s="212"/>
      <c r="O135" s="212"/>
      <c r="P135" s="212"/>
    </row>
    <row r="136" spans="1:16" ht="33" x14ac:dyDescent="0.25">
      <c r="A136" s="516" t="s">
        <v>327</v>
      </c>
      <c r="B136" s="517"/>
      <c r="C136" s="517"/>
      <c r="D136" s="517"/>
      <c r="E136" s="517"/>
      <c r="F136" s="517"/>
      <c r="G136" s="517"/>
      <c r="H136" s="517"/>
      <c r="I136" s="518"/>
      <c r="J136" s="236" t="s">
        <v>198</v>
      </c>
      <c r="K136" s="201" t="s">
        <v>199</v>
      </c>
      <c r="L136" s="201" t="s">
        <v>200</v>
      </c>
      <c r="M136" s="201" t="s">
        <v>183</v>
      </c>
      <c r="N136" s="212"/>
      <c r="O136" s="212"/>
      <c r="P136" s="212"/>
    </row>
    <row r="137" spans="1:16" ht="16.5" x14ac:dyDescent="0.25">
      <c r="A137" s="458" t="s">
        <v>170</v>
      </c>
      <c r="B137" s="459"/>
      <c r="C137" s="459"/>
      <c r="D137" s="459"/>
      <c r="E137" s="459"/>
      <c r="F137" s="459"/>
      <c r="G137" s="459"/>
      <c r="H137" s="459"/>
      <c r="I137" s="460"/>
      <c r="J137" s="176"/>
      <c r="K137" s="172"/>
      <c r="L137" s="172"/>
      <c r="M137" s="168">
        <f>SUM(J137:L137)</f>
        <v>0</v>
      </c>
      <c r="N137" s="212"/>
      <c r="O137" s="212"/>
      <c r="P137" s="212"/>
    </row>
    <row r="138" spans="1:16" ht="16.5" x14ac:dyDescent="0.25">
      <c r="A138" s="449" t="s">
        <v>178</v>
      </c>
      <c r="B138" s="450"/>
      <c r="C138" s="450"/>
      <c r="D138" s="450"/>
      <c r="E138" s="450"/>
      <c r="F138" s="450"/>
      <c r="G138" s="450"/>
      <c r="H138" s="450"/>
      <c r="I138" s="451"/>
      <c r="J138" s="206"/>
      <c r="K138" s="204">
        <v>850000</v>
      </c>
      <c r="L138" s="204"/>
      <c r="M138" s="175">
        <f t="shared" ref="M138:M150" si="8">SUM(J138:L138)</f>
        <v>850000</v>
      </c>
      <c r="N138" s="212"/>
      <c r="O138" s="212"/>
      <c r="P138" s="212"/>
    </row>
    <row r="139" spans="1:16" ht="15" customHeight="1" x14ac:dyDescent="0.25">
      <c r="A139" s="449" t="s">
        <v>297</v>
      </c>
      <c r="B139" s="450"/>
      <c r="C139" s="450"/>
      <c r="D139" s="450"/>
      <c r="E139" s="450"/>
      <c r="F139" s="450"/>
      <c r="G139" s="450"/>
      <c r="H139" s="450"/>
      <c r="I139" s="451"/>
      <c r="J139" s="177"/>
      <c r="K139" s="172"/>
      <c r="L139" s="172"/>
      <c r="M139" s="168">
        <f t="shared" si="8"/>
        <v>0</v>
      </c>
      <c r="N139" s="212"/>
      <c r="O139" s="212"/>
      <c r="P139" s="212"/>
    </row>
    <row r="140" spans="1:16" ht="47.25" customHeight="1" x14ac:dyDescent="0.25">
      <c r="A140" s="433" t="s">
        <v>175</v>
      </c>
      <c r="B140" s="434"/>
      <c r="C140" s="434"/>
      <c r="D140" s="434"/>
      <c r="E140" s="434"/>
      <c r="F140" s="434"/>
      <c r="G140" s="434"/>
      <c r="H140" s="434"/>
      <c r="I140" s="435"/>
      <c r="J140" s="177"/>
      <c r="K140" s="172"/>
      <c r="L140" s="172"/>
      <c r="M140" s="168">
        <f t="shared" si="8"/>
        <v>0</v>
      </c>
      <c r="N140" s="212"/>
      <c r="O140" s="212"/>
      <c r="P140" s="212"/>
    </row>
    <row r="141" spans="1:16" ht="16.5" x14ac:dyDescent="0.25">
      <c r="A141" s="452" t="s">
        <v>177</v>
      </c>
      <c r="B141" s="453"/>
      <c r="C141" s="453"/>
      <c r="D141" s="453"/>
      <c r="E141" s="453"/>
      <c r="F141" s="453"/>
      <c r="G141" s="453"/>
      <c r="H141" s="453"/>
      <c r="I141" s="454"/>
      <c r="J141" s="177"/>
      <c r="K141" s="172"/>
      <c r="L141" s="172"/>
      <c r="M141" s="168">
        <f t="shared" si="8"/>
        <v>0</v>
      </c>
      <c r="N141" s="212"/>
      <c r="O141" s="212"/>
      <c r="P141" s="212"/>
    </row>
    <row r="142" spans="1:16" ht="16.5" x14ac:dyDescent="0.25">
      <c r="A142" s="449" t="s">
        <v>179</v>
      </c>
      <c r="B142" s="450"/>
      <c r="C142" s="450"/>
      <c r="D142" s="450"/>
      <c r="E142" s="450"/>
      <c r="F142" s="450"/>
      <c r="G142" s="450"/>
      <c r="H142" s="450"/>
      <c r="I142" s="451"/>
      <c r="J142" s="177"/>
      <c r="K142" s="168"/>
      <c r="L142" s="172"/>
      <c r="M142" s="168">
        <f t="shared" si="8"/>
        <v>0</v>
      </c>
      <c r="N142" s="212"/>
      <c r="O142" s="212"/>
      <c r="P142" s="212"/>
    </row>
    <row r="143" spans="1:16" ht="15" customHeight="1" x14ac:dyDescent="0.25">
      <c r="A143" s="433" t="s">
        <v>171</v>
      </c>
      <c r="B143" s="434"/>
      <c r="C143" s="434"/>
      <c r="D143" s="434"/>
      <c r="E143" s="434"/>
      <c r="F143" s="434"/>
      <c r="G143" s="434"/>
      <c r="H143" s="434"/>
      <c r="I143" s="435"/>
      <c r="J143" s="177"/>
      <c r="K143" s="172"/>
      <c r="L143" s="172"/>
      <c r="M143" s="168">
        <f t="shared" si="8"/>
        <v>0</v>
      </c>
      <c r="N143" s="212"/>
      <c r="O143" s="212"/>
      <c r="P143" s="212"/>
    </row>
    <row r="144" spans="1:16" ht="16.5" x14ac:dyDescent="0.25">
      <c r="A144" s="433" t="s">
        <v>172</v>
      </c>
      <c r="B144" s="434"/>
      <c r="C144" s="434"/>
      <c r="D144" s="434"/>
      <c r="E144" s="434"/>
      <c r="F144" s="434"/>
      <c r="G144" s="434"/>
      <c r="H144" s="434"/>
      <c r="I144" s="435"/>
      <c r="J144" s="177"/>
      <c r="K144" s="172"/>
      <c r="L144" s="172"/>
      <c r="M144" s="168">
        <f t="shared" si="8"/>
        <v>0</v>
      </c>
      <c r="N144" s="212"/>
      <c r="O144" s="212"/>
      <c r="P144" s="212"/>
    </row>
    <row r="145" spans="1:16" ht="16.5" x14ac:dyDescent="0.25">
      <c r="A145" s="433" t="s">
        <v>173</v>
      </c>
      <c r="B145" s="434"/>
      <c r="C145" s="434"/>
      <c r="D145" s="434"/>
      <c r="E145" s="434"/>
      <c r="F145" s="434"/>
      <c r="G145" s="434"/>
      <c r="H145" s="434"/>
      <c r="I145" s="435"/>
      <c r="J145" s="177"/>
      <c r="K145" s="172"/>
      <c r="L145" s="172"/>
      <c r="M145" s="168">
        <f t="shared" si="8"/>
        <v>0</v>
      </c>
      <c r="N145" s="212"/>
      <c r="O145" s="212"/>
      <c r="P145" s="212"/>
    </row>
    <row r="146" spans="1:16" ht="16.5" x14ac:dyDescent="0.25">
      <c r="A146" s="433" t="s">
        <v>174</v>
      </c>
      <c r="B146" s="434"/>
      <c r="C146" s="434"/>
      <c r="D146" s="434"/>
      <c r="E146" s="434"/>
      <c r="F146" s="434"/>
      <c r="G146" s="434"/>
      <c r="H146" s="434"/>
      <c r="I146" s="435"/>
      <c r="J146" s="177"/>
      <c r="K146" s="172"/>
      <c r="L146" s="172"/>
      <c r="M146" s="168">
        <f t="shared" si="8"/>
        <v>0</v>
      </c>
      <c r="N146" s="212"/>
      <c r="O146" s="212"/>
      <c r="P146" s="212"/>
    </row>
    <row r="147" spans="1:16" ht="16.5" x14ac:dyDescent="0.25">
      <c r="A147" s="433" t="s">
        <v>180</v>
      </c>
      <c r="B147" s="434"/>
      <c r="C147" s="434"/>
      <c r="D147" s="434"/>
      <c r="E147" s="434"/>
      <c r="F147" s="434"/>
      <c r="G147" s="434"/>
      <c r="H147" s="434"/>
      <c r="I147" s="435"/>
      <c r="J147" s="177"/>
      <c r="K147" s="172"/>
      <c r="L147" s="172"/>
      <c r="M147" s="168">
        <f t="shared" si="8"/>
        <v>0</v>
      </c>
      <c r="N147" s="212"/>
      <c r="O147" s="212"/>
      <c r="P147" s="212"/>
    </row>
    <row r="148" spans="1:16" ht="16.5" x14ac:dyDescent="0.25">
      <c r="A148" s="433" t="s">
        <v>181</v>
      </c>
      <c r="B148" s="434"/>
      <c r="C148" s="434"/>
      <c r="D148" s="434"/>
      <c r="E148" s="434"/>
      <c r="F148" s="434"/>
      <c r="G148" s="434"/>
      <c r="H148" s="434"/>
      <c r="I148" s="435"/>
      <c r="J148" s="177"/>
      <c r="K148" s="172"/>
      <c r="L148" s="172"/>
      <c r="M148" s="168">
        <f t="shared" si="8"/>
        <v>0</v>
      </c>
      <c r="N148" s="212"/>
      <c r="O148" s="212"/>
      <c r="P148" s="212"/>
    </row>
    <row r="149" spans="1:16" ht="16.5" x14ac:dyDescent="0.25">
      <c r="A149" s="464" t="s">
        <v>295</v>
      </c>
      <c r="B149" s="465"/>
      <c r="C149" s="465"/>
      <c r="D149" s="465"/>
      <c r="E149" s="465"/>
      <c r="F149" s="465"/>
      <c r="G149" s="465"/>
      <c r="H149" s="465"/>
      <c r="I149" s="466"/>
      <c r="J149" s="177"/>
      <c r="K149" s="172"/>
      <c r="L149" s="172"/>
      <c r="M149" s="168">
        <f t="shared" si="8"/>
        <v>0</v>
      </c>
      <c r="N149" s="212"/>
      <c r="O149" s="212"/>
      <c r="P149" s="212"/>
    </row>
    <row r="150" spans="1:16" ht="38.25" customHeight="1" x14ac:dyDescent="0.25">
      <c r="A150" s="449" t="s">
        <v>296</v>
      </c>
      <c r="B150" s="450"/>
      <c r="C150" s="450"/>
      <c r="D150" s="450"/>
      <c r="E150" s="450"/>
      <c r="F150" s="450"/>
      <c r="G150" s="450"/>
      <c r="H150" s="450"/>
      <c r="I150" s="451"/>
      <c r="J150" s="177"/>
      <c r="K150" s="172"/>
      <c r="L150" s="172"/>
      <c r="M150" s="168">
        <f t="shared" si="8"/>
        <v>0</v>
      </c>
      <c r="N150" s="212"/>
      <c r="O150" s="212"/>
      <c r="P150" s="212"/>
    </row>
    <row r="151" spans="1:16" ht="21.75" customHeight="1" x14ac:dyDescent="0.25">
      <c r="A151" s="452" t="s">
        <v>183</v>
      </c>
      <c r="B151" s="453"/>
      <c r="C151" s="453"/>
      <c r="D151" s="453"/>
      <c r="E151" s="453"/>
      <c r="F151" s="453"/>
      <c r="G151" s="453"/>
      <c r="H151" s="453"/>
      <c r="I151" s="454"/>
      <c r="J151" s="206">
        <f>J137+J141</f>
        <v>0</v>
      </c>
      <c r="K151" s="204">
        <f>SUM(K137:K150)</f>
        <v>850000</v>
      </c>
      <c r="L151" s="204"/>
      <c r="M151" s="175">
        <f>SUM(J151:L151)</f>
        <v>850000</v>
      </c>
      <c r="N151" s="212"/>
      <c r="O151" s="212"/>
      <c r="P151" s="212"/>
    </row>
    <row r="152" spans="1:16" ht="16.5" x14ac:dyDescent="0.25">
      <c r="J152" s="175"/>
      <c r="K152" s="175"/>
      <c r="L152" s="175"/>
      <c r="M152" s="175"/>
      <c r="N152" s="212"/>
      <c r="O152" s="212"/>
      <c r="P152" s="212"/>
    </row>
    <row r="153" spans="1:16" ht="16.5" x14ac:dyDescent="0.25">
      <c r="J153" s="225"/>
      <c r="K153" s="225"/>
      <c r="L153" s="225"/>
      <c r="M153" s="225"/>
      <c r="N153" s="212"/>
      <c r="O153" s="212"/>
      <c r="P153" s="212"/>
    </row>
    <row r="154" spans="1:16" ht="16.5" x14ac:dyDescent="0.25">
      <c r="K154" s="18" t="s">
        <v>373</v>
      </c>
      <c r="L154" s="18"/>
      <c r="N154" s="212"/>
      <c r="O154" s="212"/>
      <c r="P154" s="212"/>
    </row>
    <row r="155" spans="1:16" s="145" customFormat="1" ht="29.25" customHeight="1" x14ac:dyDescent="0.25">
      <c r="A155" s="495" t="s">
        <v>409</v>
      </c>
      <c r="B155" s="495"/>
      <c r="C155" s="495"/>
      <c r="D155" s="495"/>
      <c r="E155" s="495"/>
      <c r="F155" s="495"/>
      <c r="G155" s="495"/>
      <c r="H155" s="495"/>
      <c r="I155" s="495"/>
      <c r="J155" s="495"/>
      <c r="K155" s="495"/>
      <c r="L155" s="495"/>
      <c r="M155" s="495"/>
      <c r="N155" s="257"/>
      <c r="O155" s="257"/>
      <c r="P155" s="257"/>
    </row>
    <row r="156" spans="1:16" ht="33" x14ac:dyDescent="0.25">
      <c r="A156" s="516" t="s">
        <v>314</v>
      </c>
      <c r="B156" s="517"/>
      <c r="C156" s="517"/>
      <c r="D156" s="517"/>
      <c r="E156" s="517"/>
      <c r="F156" s="517"/>
      <c r="G156" s="517"/>
      <c r="H156" s="517"/>
      <c r="I156" s="518"/>
      <c r="J156" s="236" t="s">
        <v>198</v>
      </c>
      <c r="K156" s="201" t="s">
        <v>199</v>
      </c>
      <c r="L156" s="201" t="s">
        <v>200</v>
      </c>
      <c r="M156" s="201" t="s">
        <v>183</v>
      </c>
      <c r="N156" s="212"/>
      <c r="O156" s="212"/>
      <c r="P156" s="212"/>
    </row>
    <row r="157" spans="1:16" ht="16.5" x14ac:dyDescent="0.25">
      <c r="A157" s="458" t="s">
        <v>170</v>
      </c>
      <c r="B157" s="459"/>
      <c r="C157" s="459"/>
      <c r="D157" s="459"/>
      <c r="E157" s="459"/>
      <c r="F157" s="459"/>
      <c r="G157" s="459"/>
      <c r="H157" s="459"/>
      <c r="I157" s="460"/>
      <c r="J157" s="254">
        <f>SUM(J158:J160)</f>
        <v>690011.05219999992</v>
      </c>
      <c r="K157" s="247"/>
      <c r="L157" s="247"/>
      <c r="M157" s="247">
        <f>SUM(J157:L157)</f>
        <v>690011.05219999992</v>
      </c>
      <c r="N157" s="212"/>
      <c r="O157" s="212"/>
      <c r="P157" s="212"/>
    </row>
    <row r="158" spans="1:16" ht="16.5" x14ac:dyDescent="0.25">
      <c r="A158" s="449" t="s">
        <v>178</v>
      </c>
      <c r="B158" s="450"/>
      <c r="C158" s="450"/>
      <c r="D158" s="450"/>
      <c r="E158" s="450"/>
      <c r="F158" s="450"/>
      <c r="G158" s="450"/>
      <c r="H158" s="450"/>
      <c r="I158" s="451"/>
      <c r="J158" s="258">
        <f>973180.38*69%</f>
        <v>671494.46219999995</v>
      </c>
      <c r="K158" s="250"/>
      <c r="L158" s="250"/>
      <c r="M158" s="250">
        <f t="shared" ref="M158:M170" si="9">SUM(J158:L158)</f>
        <v>671494.46219999995</v>
      </c>
      <c r="N158" s="212"/>
      <c r="O158" s="212"/>
      <c r="P158" s="212"/>
    </row>
    <row r="159" spans="1:16" ht="16.5" x14ac:dyDescent="0.25">
      <c r="A159" s="449" t="s">
        <v>297</v>
      </c>
      <c r="B159" s="450"/>
      <c r="C159" s="450"/>
      <c r="D159" s="450"/>
      <c r="E159" s="450"/>
      <c r="F159" s="450"/>
      <c r="G159" s="450"/>
      <c r="H159" s="450"/>
      <c r="I159" s="451"/>
      <c r="J159" s="258">
        <v>1167.8699999999999</v>
      </c>
      <c r="K159" s="250"/>
      <c r="L159" s="250"/>
      <c r="M159" s="250">
        <f t="shared" si="9"/>
        <v>1167.8699999999999</v>
      </c>
      <c r="N159" s="212"/>
      <c r="O159" s="212"/>
      <c r="P159" s="212"/>
    </row>
    <row r="160" spans="1:16" ht="16.5" x14ac:dyDescent="0.25">
      <c r="A160" s="433" t="s">
        <v>175</v>
      </c>
      <c r="B160" s="434"/>
      <c r="C160" s="434"/>
      <c r="D160" s="434"/>
      <c r="E160" s="434"/>
      <c r="F160" s="434"/>
      <c r="G160" s="434"/>
      <c r="H160" s="434"/>
      <c r="I160" s="435"/>
      <c r="J160" s="258">
        <v>17348.72</v>
      </c>
      <c r="K160" s="250"/>
      <c r="L160" s="250"/>
      <c r="M160" s="250">
        <f t="shared" si="9"/>
        <v>17348.72</v>
      </c>
      <c r="N160" s="212"/>
      <c r="O160" s="212"/>
      <c r="P160" s="212"/>
    </row>
    <row r="161" spans="1:16" ht="16.5" x14ac:dyDescent="0.25">
      <c r="A161" s="452" t="s">
        <v>177</v>
      </c>
      <c r="B161" s="453"/>
      <c r="C161" s="453"/>
      <c r="D161" s="453"/>
      <c r="E161" s="453"/>
      <c r="F161" s="453"/>
      <c r="G161" s="453"/>
      <c r="H161" s="453"/>
      <c r="I161" s="454"/>
      <c r="J161" s="256">
        <f>J162+J163+J167+J169+J170</f>
        <v>427553.82280000008</v>
      </c>
      <c r="K161" s="247"/>
      <c r="L161" s="247"/>
      <c r="M161" s="247">
        <f t="shared" si="9"/>
        <v>427553.82280000008</v>
      </c>
      <c r="N161" s="212"/>
      <c r="O161" s="212"/>
      <c r="P161" s="212"/>
    </row>
    <row r="162" spans="1:16" ht="16.5" x14ac:dyDescent="0.25">
      <c r="A162" s="449" t="s">
        <v>179</v>
      </c>
      <c r="B162" s="450"/>
      <c r="C162" s="450"/>
      <c r="D162" s="450"/>
      <c r="E162" s="450"/>
      <c r="F162" s="450"/>
      <c r="G162" s="450"/>
      <c r="H162" s="450"/>
      <c r="I162" s="451"/>
      <c r="J162" s="258">
        <f>973180.385-J158</f>
        <v>301685.92280000006</v>
      </c>
      <c r="K162" s="250"/>
      <c r="L162" s="250"/>
      <c r="M162" s="250">
        <f t="shared" si="9"/>
        <v>301685.92280000006</v>
      </c>
      <c r="N162" s="212"/>
      <c r="O162" s="212"/>
      <c r="P162" s="212"/>
    </row>
    <row r="163" spans="1:16" ht="16.5" x14ac:dyDescent="0.25">
      <c r="A163" s="433" t="s">
        <v>171</v>
      </c>
      <c r="B163" s="434"/>
      <c r="C163" s="434"/>
      <c r="D163" s="434"/>
      <c r="E163" s="434"/>
      <c r="F163" s="434"/>
      <c r="G163" s="434"/>
      <c r="H163" s="434"/>
      <c r="I163" s="435"/>
      <c r="J163" s="258">
        <f>SUM(J164:J166)</f>
        <v>78076.483686568972</v>
      </c>
      <c r="K163" s="250"/>
      <c r="L163" s="250"/>
      <c r="M163" s="250">
        <f t="shared" si="9"/>
        <v>78076.483686568972</v>
      </c>
      <c r="N163" s="212"/>
      <c r="O163" s="212"/>
      <c r="P163" s="212"/>
    </row>
    <row r="164" spans="1:16" ht="16.5" x14ac:dyDescent="0.25">
      <c r="A164" s="433" t="s">
        <v>172</v>
      </c>
      <c r="B164" s="434"/>
      <c r="C164" s="434"/>
      <c r="D164" s="434"/>
      <c r="E164" s="434"/>
      <c r="F164" s="434"/>
      <c r="G164" s="434"/>
      <c r="H164" s="434"/>
      <c r="I164" s="435"/>
      <c r="J164" s="258">
        <f>25933/49542*2924*90%</f>
        <v>1377.5237737677121</v>
      </c>
      <c r="K164" s="250"/>
      <c r="L164" s="250"/>
      <c r="M164" s="250">
        <f t="shared" si="9"/>
        <v>1377.5237737677121</v>
      </c>
      <c r="N164" s="212"/>
      <c r="O164" s="212"/>
      <c r="P164" s="212"/>
    </row>
    <row r="165" spans="1:16" ht="16.5" x14ac:dyDescent="0.25">
      <c r="A165" s="433" t="s">
        <v>173</v>
      </c>
      <c r="B165" s="434"/>
      <c r="C165" s="434"/>
      <c r="D165" s="434"/>
      <c r="E165" s="434"/>
      <c r="F165" s="434"/>
      <c r="G165" s="434"/>
      <c r="H165" s="434"/>
      <c r="I165" s="435"/>
      <c r="J165" s="258">
        <f>2395860/49542*2924*50%</f>
        <v>70702.582051592588</v>
      </c>
      <c r="K165" s="250"/>
      <c r="L165" s="250"/>
      <c r="M165" s="250">
        <f t="shared" si="9"/>
        <v>70702.582051592588</v>
      </c>
      <c r="N165" s="212"/>
      <c r="O165" s="212"/>
      <c r="P165" s="212"/>
    </row>
    <row r="166" spans="1:16" ht="16.5" x14ac:dyDescent="0.25">
      <c r="A166" s="433" t="s">
        <v>174</v>
      </c>
      <c r="B166" s="434"/>
      <c r="C166" s="434"/>
      <c r="D166" s="434"/>
      <c r="E166" s="434"/>
      <c r="F166" s="434"/>
      <c r="G166" s="434"/>
      <c r="H166" s="434"/>
      <c r="I166" s="435"/>
      <c r="J166" s="258">
        <f>(45055+56543)/49542*2924</f>
        <v>5996.3778612086717</v>
      </c>
      <c r="K166" s="250"/>
      <c r="L166" s="250"/>
      <c r="M166" s="250">
        <f t="shared" si="9"/>
        <v>5996.3778612086717</v>
      </c>
      <c r="N166" s="212"/>
      <c r="O166" s="212"/>
      <c r="P166" s="212"/>
    </row>
    <row r="167" spans="1:16" ht="16.5" x14ac:dyDescent="0.25">
      <c r="A167" s="433" t="s">
        <v>180</v>
      </c>
      <c r="B167" s="434"/>
      <c r="C167" s="434"/>
      <c r="D167" s="434"/>
      <c r="E167" s="434"/>
      <c r="F167" s="434"/>
      <c r="G167" s="434"/>
      <c r="H167" s="434"/>
      <c r="I167" s="435"/>
      <c r="J167" s="258">
        <v>2452.5300000000002</v>
      </c>
      <c r="K167" s="250"/>
      <c r="L167" s="250"/>
      <c r="M167" s="250">
        <f t="shared" si="9"/>
        <v>2452.5300000000002</v>
      </c>
      <c r="N167" s="212"/>
      <c r="O167" s="212"/>
      <c r="P167" s="212"/>
    </row>
    <row r="168" spans="1:16" ht="16.5" x14ac:dyDescent="0.25">
      <c r="A168" s="433" t="s">
        <v>181</v>
      </c>
      <c r="B168" s="434"/>
      <c r="C168" s="434"/>
      <c r="D168" s="434"/>
      <c r="E168" s="434"/>
      <c r="F168" s="434"/>
      <c r="G168" s="434"/>
      <c r="H168" s="434"/>
      <c r="I168" s="435"/>
      <c r="J168" s="258"/>
      <c r="K168" s="250"/>
      <c r="L168" s="250"/>
      <c r="M168" s="250">
        <f t="shared" si="9"/>
        <v>0</v>
      </c>
      <c r="N168" s="212"/>
      <c r="O168" s="212"/>
      <c r="P168" s="212"/>
    </row>
    <row r="169" spans="1:16" ht="16.5" x14ac:dyDescent="0.25">
      <c r="A169" s="464" t="s">
        <v>295</v>
      </c>
      <c r="B169" s="465"/>
      <c r="C169" s="465"/>
      <c r="D169" s="465"/>
      <c r="E169" s="465"/>
      <c r="F169" s="465"/>
      <c r="G169" s="465"/>
      <c r="H169" s="465"/>
      <c r="I169" s="466"/>
      <c r="J169" s="258">
        <v>10659.83</v>
      </c>
      <c r="K169" s="250"/>
      <c r="L169" s="250"/>
      <c r="M169" s="250">
        <f t="shared" si="9"/>
        <v>10659.83</v>
      </c>
      <c r="N169" s="212"/>
      <c r="O169" s="212"/>
      <c r="P169" s="212"/>
    </row>
    <row r="170" spans="1:16" ht="16.5" x14ac:dyDescent="0.25">
      <c r="A170" s="449" t="s">
        <v>296</v>
      </c>
      <c r="B170" s="450"/>
      <c r="C170" s="450"/>
      <c r="D170" s="450"/>
      <c r="E170" s="450"/>
      <c r="F170" s="450"/>
      <c r="G170" s="450"/>
      <c r="H170" s="450"/>
      <c r="I170" s="451"/>
      <c r="J170" s="258">
        <f>74260.56+15632.71+22862.27-J186</f>
        <v>34679.056313431021</v>
      </c>
      <c r="K170" s="250"/>
      <c r="L170" s="250"/>
      <c r="M170" s="250">
        <f t="shared" si="9"/>
        <v>34679.056313431021</v>
      </c>
      <c r="N170" s="212"/>
      <c r="O170" s="212"/>
      <c r="P170" s="212"/>
    </row>
    <row r="171" spans="1:16" ht="16.5" x14ac:dyDescent="0.25">
      <c r="A171" s="452" t="s">
        <v>183</v>
      </c>
      <c r="B171" s="453"/>
      <c r="C171" s="453"/>
      <c r="D171" s="453"/>
      <c r="E171" s="453"/>
      <c r="F171" s="453"/>
      <c r="G171" s="453"/>
      <c r="H171" s="453"/>
      <c r="I171" s="454"/>
      <c r="J171" s="256">
        <f>J157+J161</f>
        <v>1117564.875</v>
      </c>
      <c r="K171" s="247"/>
      <c r="L171" s="247"/>
      <c r="M171" s="247">
        <f>SUM(J171:L171)</f>
        <v>1117564.875</v>
      </c>
      <c r="N171" s="212"/>
      <c r="O171" s="212"/>
      <c r="P171" s="212"/>
    </row>
    <row r="172" spans="1:16" ht="16.5" x14ac:dyDescent="0.25">
      <c r="A172" s="433" t="s">
        <v>202</v>
      </c>
      <c r="B172" s="434"/>
      <c r="C172" s="434"/>
      <c r="D172" s="434"/>
      <c r="E172" s="434"/>
      <c r="F172" s="434"/>
      <c r="G172" s="434"/>
      <c r="H172" s="434"/>
      <c r="I172" s="435"/>
      <c r="J172" s="250">
        <f>J171/G12</f>
        <v>186260.8125</v>
      </c>
      <c r="K172" s="250"/>
      <c r="L172" s="250"/>
      <c r="M172" s="250"/>
      <c r="N172" s="212"/>
      <c r="O172" s="212"/>
      <c r="P172" s="212"/>
    </row>
    <row r="173" spans="1:16" ht="16.5" x14ac:dyDescent="0.25">
      <c r="J173" s="225"/>
      <c r="K173" s="225"/>
      <c r="L173" s="225"/>
      <c r="M173" s="225"/>
      <c r="N173" s="212"/>
      <c r="O173" s="212"/>
      <c r="P173" s="212"/>
    </row>
    <row r="174" spans="1:16" ht="16.5" x14ac:dyDescent="0.25">
      <c r="J174" s="225"/>
      <c r="K174" s="225"/>
      <c r="L174" s="225"/>
      <c r="M174" s="225"/>
      <c r="N174" s="212"/>
      <c r="O174" s="212"/>
      <c r="P174" s="212"/>
    </row>
    <row r="175" spans="1:16" ht="16.5" x14ac:dyDescent="0.25">
      <c r="A175" s="212"/>
      <c r="B175" s="212"/>
      <c r="C175" s="212"/>
      <c r="D175" s="212"/>
      <c r="E175" s="212"/>
      <c r="F175" s="212"/>
      <c r="G175" s="212"/>
      <c r="H175" s="212"/>
      <c r="I175" s="212"/>
      <c r="J175" s="213"/>
      <c r="K175" s="213"/>
      <c r="L175" s="213"/>
      <c r="M175" s="212"/>
      <c r="N175" s="212"/>
      <c r="O175" s="212"/>
      <c r="P175" s="212"/>
    </row>
    <row r="177" spans="1:13" x14ac:dyDescent="0.25">
      <c r="K177" s="18" t="s">
        <v>371</v>
      </c>
      <c r="L177" s="18"/>
    </row>
    <row r="178" spans="1:13" ht="16.5" x14ac:dyDescent="0.25">
      <c r="A178" s="444" t="s">
        <v>345</v>
      </c>
      <c r="B178" s="444"/>
      <c r="C178" s="444"/>
      <c r="D178" s="444"/>
      <c r="E178" s="444"/>
      <c r="F178" s="444"/>
      <c r="G178" s="444"/>
      <c r="H178" s="444"/>
      <c r="I178" s="444"/>
      <c r="J178" s="444"/>
      <c r="K178" s="444"/>
      <c r="L178" s="444"/>
      <c r="M178" s="444"/>
    </row>
    <row r="179" spans="1:13" ht="33" x14ac:dyDescent="0.25">
      <c r="A179" s="516" t="s">
        <v>314</v>
      </c>
      <c r="B179" s="517"/>
      <c r="C179" s="517"/>
      <c r="D179" s="517"/>
      <c r="E179" s="517"/>
      <c r="F179" s="517"/>
      <c r="G179" s="517"/>
      <c r="H179" s="517"/>
      <c r="I179" s="518"/>
      <c r="J179" s="236" t="s">
        <v>198</v>
      </c>
      <c r="K179" s="201" t="s">
        <v>199</v>
      </c>
      <c r="L179" s="201" t="s">
        <v>200</v>
      </c>
      <c r="M179" s="201" t="s">
        <v>183</v>
      </c>
    </row>
    <row r="180" spans="1:13" ht="16.5" x14ac:dyDescent="0.25">
      <c r="A180" s="458" t="s">
        <v>170</v>
      </c>
      <c r="B180" s="459"/>
      <c r="C180" s="459"/>
      <c r="D180" s="459"/>
      <c r="E180" s="459"/>
      <c r="F180" s="459"/>
      <c r="G180" s="459"/>
      <c r="H180" s="459"/>
      <c r="I180" s="460"/>
      <c r="J180" s="225">
        <f>SUM(J181:J183)</f>
        <v>1084303.0904999999</v>
      </c>
      <c r="K180" s="204"/>
      <c r="L180" s="204"/>
      <c r="M180" s="175">
        <f>SUM(J180:L180)</f>
        <v>1084303.0904999999</v>
      </c>
    </row>
    <row r="181" spans="1:13" ht="16.5" x14ac:dyDescent="0.25">
      <c r="A181" s="449" t="s">
        <v>178</v>
      </c>
      <c r="B181" s="450"/>
      <c r="C181" s="450"/>
      <c r="D181" s="450"/>
      <c r="E181" s="450"/>
      <c r="F181" s="450"/>
      <c r="G181" s="450"/>
      <c r="H181" s="450"/>
      <c r="I181" s="451"/>
      <c r="J181" s="177">
        <f>1529283.45*69%</f>
        <v>1055205.5804999999</v>
      </c>
      <c r="K181" s="172"/>
      <c r="L181" s="172"/>
      <c r="M181" s="168">
        <f t="shared" ref="M181:M193" si="10">SUM(J181:L181)</f>
        <v>1055205.5804999999</v>
      </c>
    </row>
    <row r="182" spans="1:13" ht="16.5" x14ac:dyDescent="0.25">
      <c r="A182" s="449" t="s">
        <v>297</v>
      </c>
      <c r="B182" s="450"/>
      <c r="C182" s="450"/>
      <c r="D182" s="450"/>
      <c r="E182" s="450"/>
      <c r="F182" s="450"/>
      <c r="G182" s="450"/>
      <c r="H182" s="450"/>
      <c r="I182" s="451"/>
      <c r="J182" s="177">
        <v>1835.23</v>
      </c>
      <c r="K182" s="172"/>
      <c r="L182" s="172"/>
      <c r="M182" s="168">
        <f t="shared" si="10"/>
        <v>1835.23</v>
      </c>
    </row>
    <row r="183" spans="1:13" ht="16.5" x14ac:dyDescent="0.25">
      <c r="A183" s="433" t="s">
        <v>175</v>
      </c>
      <c r="B183" s="434"/>
      <c r="C183" s="434"/>
      <c r="D183" s="434"/>
      <c r="E183" s="434"/>
      <c r="F183" s="434"/>
      <c r="G183" s="434"/>
      <c r="H183" s="434"/>
      <c r="I183" s="435"/>
      <c r="J183" s="177">
        <f>27262.28</f>
        <v>27262.28</v>
      </c>
      <c r="K183" s="172"/>
      <c r="L183" s="172"/>
      <c r="M183" s="168">
        <f t="shared" si="10"/>
        <v>27262.28</v>
      </c>
    </row>
    <row r="184" spans="1:13" ht="16.5" x14ac:dyDescent="0.25">
      <c r="A184" s="452" t="s">
        <v>177</v>
      </c>
      <c r="B184" s="453"/>
      <c r="C184" s="453"/>
      <c r="D184" s="453"/>
      <c r="E184" s="453"/>
      <c r="F184" s="453"/>
      <c r="G184" s="453"/>
      <c r="H184" s="453"/>
      <c r="I184" s="454"/>
      <c r="J184" s="206">
        <f>J185+J186+J190+J192+J193</f>
        <v>671870.27949999995</v>
      </c>
      <c r="K184" s="204"/>
      <c r="L184" s="204"/>
      <c r="M184" s="175">
        <f t="shared" si="10"/>
        <v>671870.27949999995</v>
      </c>
    </row>
    <row r="185" spans="1:13" ht="16.5" x14ac:dyDescent="0.25">
      <c r="A185" s="449" t="s">
        <v>179</v>
      </c>
      <c r="B185" s="450"/>
      <c r="C185" s="450"/>
      <c r="D185" s="450"/>
      <c r="E185" s="450"/>
      <c r="F185" s="450"/>
      <c r="G185" s="450"/>
      <c r="H185" s="450"/>
      <c r="I185" s="451"/>
      <c r="J185" s="177">
        <f>1529283.45-J181</f>
        <v>474077.86950000003</v>
      </c>
      <c r="K185" s="168"/>
      <c r="L185" s="172"/>
      <c r="M185" s="168">
        <f t="shared" si="10"/>
        <v>474077.86950000003</v>
      </c>
    </row>
    <row r="186" spans="1:13" ht="16.5" x14ac:dyDescent="0.25">
      <c r="A186" s="433" t="s">
        <v>171</v>
      </c>
      <c r="B186" s="434"/>
      <c r="C186" s="434"/>
      <c r="D186" s="434"/>
      <c r="E186" s="434"/>
      <c r="F186" s="434"/>
      <c r="G186" s="434"/>
      <c r="H186" s="434"/>
      <c r="I186" s="435"/>
      <c r="J186" s="177">
        <f>SUM(J187:J189)</f>
        <v>78076.483686568972</v>
      </c>
      <c r="K186" s="172"/>
      <c r="L186" s="172"/>
      <c r="M186" s="168">
        <f t="shared" si="10"/>
        <v>78076.483686568972</v>
      </c>
    </row>
    <row r="187" spans="1:13" ht="16.5" x14ac:dyDescent="0.25">
      <c r="A187" s="433" t="s">
        <v>172</v>
      </c>
      <c r="B187" s="434"/>
      <c r="C187" s="434"/>
      <c r="D187" s="434"/>
      <c r="E187" s="434"/>
      <c r="F187" s="434"/>
      <c r="G187" s="434"/>
      <c r="H187" s="434"/>
      <c r="I187" s="435"/>
      <c r="J187" s="177">
        <f>25933/49542*2924*90%</f>
        <v>1377.5237737677121</v>
      </c>
      <c r="K187" s="172"/>
      <c r="L187" s="172"/>
      <c r="M187" s="168">
        <f t="shared" si="10"/>
        <v>1377.5237737677121</v>
      </c>
    </row>
    <row r="188" spans="1:13" ht="16.5" x14ac:dyDescent="0.25">
      <c r="A188" s="433" t="s">
        <v>173</v>
      </c>
      <c r="B188" s="434"/>
      <c r="C188" s="434"/>
      <c r="D188" s="434"/>
      <c r="E188" s="434"/>
      <c r="F188" s="434"/>
      <c r="G188" s="434"/>
      <c r="H188" s="434"/>
      <c r="I188" s="435"/>
      <c r="J188" s="177">
        <f>2395860/49542*2924*50%</f>
        <v>70702.582051592588</v>
      </c>
      <c r="K188" s="172"/>
      <c r="L188" s="172"/>
      <c r="M188" s="168">
        <f t="shared" si="10"/>
        <v>70702.582051592588</v>
      </c>
    </row>
    <row r="189" spans="1:13" ht="16.5" x14ac:dyDescent="0.25">
      <c r="A189" s="433" t="s">
        <v>174</v>
      </c>
      <c r="B189" s="434"/>
      <c r="C189" s="434"/>
      <c r="D189" s="434"/>
      <c r="E189" s="434"/>
      <c r="F189" s="434"/>
      <c r="G189" s="434"/>
      <c r="H189" s="434"/>
      <c r="I189" s="435"/>
      <c r="J189" s="177">
        <f>(45055+56543)/49542*2924</f>
        <v>5996.3778612086717</v>
      </c>
      <c r="K189" s="172"/>
      <c r="L189" s="172"/>
      <c r="M189" s="168">
        <f t="shared" si="10"/>
        <v>5996.3778612086717</v>
      </c>
    </row>
    <row r="190" spans="1:13" ht="16.5" x14ac:dyDescent="0.25">
      <c r="A190" s="433" t="s">
        <v>180</v>
      </c>
      <c r="B190" s="434"/>
      <c r="C190" s="434"/>
      <c r="D190" s="434"/>
      <c r="E190" s="434"/>
      <c r="F190" s="434"/>
      <c r="G190" s="434"/>
      <c r="H190" s="434"/>
      <c r="I190" s="435"/>
      <c r="J190" s="177">
        <v>3853.97</v>
      </c>
      <c r="K190" s="172"/>
      <c r="L190" s="172"/>
      <c r="M190" s="168">
        <f t="shared" si="10"/>
        <v>3853.97</v>
      </c>
    </row>
    <row r="191" spans="1:13" ht="16.5" x14ac:dyDescent="0.25">
      <c r="A191" s="433" t="s">
        <v>181</v>
      </c>
      <c r="B191" s="434"/>
      <c r="C191" s="434"/>
      <c r="D191" s="434"/>
      <c r="E191" s="434"/>
      <c r="F191" s="434"/>
      <c r="G191" s="434"/>
      <c r="H191" s="434"/>
      <c r="I191" s="435"/>
      <c r="J191" s="177"/>
      <c r="K191" s="172"/>
      <c r="L191" s="172"/>
      <c r="M191" s="168">
        <f t="shared" si="10"/>
        <v>0</v>
      </c>
    </row>
    <row r="192" spans="1:13" ht="16.5" x14ac:dyDescent="0.25">
      <c r="A192" s="464" t="s">
        <v>295</v>
      </c>
      <c r="B192" s="465"/>
      <c r="C192" s="465"/>
      <c r="D192" s="465"/>
      <c r="E192" s="465"/>
      <c r="F192" s="465"/>
      <c r="G192" s="465"/>
      <c r="H192" s="465"/>
      <c r="I192" s="466"/>
      <c r="J192" s="177">
        <v>16751.16</v>
      </c>
      <c r="K192" s="172"/>
      <c r="L192" s="172"/>
      <c r="M192" s="168">
        <f t="shared" si="10"/>
        <v>16751.16</v>
      </c>
    </row>
    <row r="193" spans="1:13" ht="16.5" x14ac:dyDescent="0.25">
      <c r="A193" s="449" t="s">
        <v>296</v>
      </c>
      <c r="B193" s="450"/>
      <c r="C193" s="450"/>
      <c r="D193" s="450"/>
      <c r="E193" s="450"/>
      <c r="F193" s="450"/>
      <c r="G193" s="450"/>
      <c r="H193" s="450"/>
      <c r="I193" s="451"/>
      <c r="J193" s="177">
        <f>116695.17+24565.69+35926.42-J186</f>
        <v>99110.796313430998</v>
      </c>
      <c r="K193" s="172"/>
      <c r="L193" s="172"/>
      <c r="M193" s="168">
        <f t="shared" si="10"/>
        <v>99110.796313430998</v>
      </c>
    </row>
    <row r="194" spans="1:13" ht="16.5" x14ac:dyDescent="0.25">
      <c r="A194" s="452" t="s">
        <v>183</v>
      </c>
      <c r="B194" s="453"/>
      <c r="C194" s="453"/>
      <c r="D194" s="453"/>
      <c r="E194" s="453"/>
      <c r="F194" s="453"/>
      <c r="G194" s="453"/>
      <c r="H194" s="453"/>
      <c r="I194" s="454"/>
      <c r="J194" s="256">
        <f>J180+J184</f>
        <v>1756173.3699999999</v>
      </c>
      <c r="K194" s="247"/>
      <c r="L194" s="247"/>
      <c r="M194" s="247">
        <f>SUM(J194:L194)</f>
        <v>1756173.3699999999</v>
      </c>
    </row>
    <row r="195" spans="1:13" ht="16.5" x14ac:dyDescent="0.25">
      <c r="A195" s="433" t="s">
        <v>202</v>
      </c>
      <c r="B195" s="434"/>
      <c r="C195" s="434"/>
      <c r="D195" s="434"/>
      <c r="E195" s="434"/>
      <c r="F195" s="434"/>
      <c r="G195" s="434"/>
      <c r="H195" s="434"/>
      <c r="I195" s="435"/>
      <c r="J195" s="250">
        <f>J194/G11</f>
        <v>292695.56166666665</v>
      </c>
      <c r="K195" s="250"/>
      <c r="L195" s="250"/>
      <c r="M195" s="250"/>
    </row>
    <row r="197" spans="1:13" ht="16.5" x14ac:dyDescent="0.25">
      <c r="A197" s="458" t="s">
        <v>325</v>
      </c>
      <c r="B197" s="459"/>
      <c r="C197" s="459"/>
      <c r="D197" s="459"/>
      <c r="E197" s="459"/>
      <c r="F197" s="459"/>
      <c r="G197" s="459"/>
      <c r="H197" s="459"/>
      <c r="I197" s="460"/>
      <c r="J197" s="18">
        <f>J43+J65+J88+J109+J130+J171+J194</f>
        <v>38276999.994999997</v>
      </c>
      <c r="K197" s="18">
        <f>K43+K65+K88+K109+K130+K194+K151</f>
        <v>33731100</v>
      </c>
    </row>
  </sheetData>
  <mergeCells count="166">
    <mergeCell ref="A187:I187"/>
    <mergeCell ref="A188:I188"/>
    <mergeCell ref="A189:I189"/>
    <mergeCell ref="A190:I190"/>
    <mergeCell ref="A191:I191"/>
    <mergeCell ref="A192:I192"/>
    <mergeCell ref="A193:I193"/>
    <mergeCell ref="A194:I194"/>
    <mergeCell ref="A195:I195"/>
    <mergeCell ref="A178:M178"/>
    <mergeCell ref="A179:I179"/>
    <mergeCell ref="A180:I180"/>
    <mergeCell ref="A181:I181"/>
    <mergeCell ref="A182:I182"/>
    <mergeCell ref="A183:I183"/>
    <mergeCell ref="A184:I184"/>
    <mergeCell ref="A185:I185"/>
    <mergeCell ref="A186:I186"/>
    <mergeCell ref="A4:A5"/>
    <mergeCell ref="B4:D5"/>
    <mergeCell ref="E4:E5"/>
    <mergeCell ref="B18:D18"/>
    <mergeCell ref="B19:D19"/>
    <mergeCell ref="B20:D20"/>
    <mergeCell ref="A27:M27"/>
    <mergeCell ref="A28:I28"/>
    <mergeCell ref="A29:I29"/>
    <mergeCell ref="B12:D12"/>
    <mergeCell ref="B13:D13"/>
    <mergeCell ref="B14:D14"/>
    <mergeCell ref="B15:D15"/>
    <mergeCell ref="B16:D16"/>
    <mergeCell ref="B17:D17"/>
    <mergeCell ref="F4:F5"/>
    <mergeCell ref="G4:J4"/>
    <mergeCell ref="K4:N4"/>
    <mergeCell ref="B6:D6"/>
    <mergeCell ref="B7:D7"/>
    <mergeCell ref="B8:D8"/>
    <mergeCell ref="B9:D9"/>
    <mergeCell ref="B10:D10"/>
    <mergeCell ref="B11:D11"/>
    <mergeCell ref="A36:I36"/>
    <mergeCell ref="A37:I37"/>
    <mergeCell ref="A38:I38"/>
    <mergeCell ref="A39:I39"/>
    <mergeCell ref="A40:I40"/>
    <mergeCell ref="A41:I41"/>
    <mergeCell ref="A30:I30"/>
    <mergeCell ref="A31:I31"/>
    <mergeCell ref="A32:I32"/>
    <mergeCell ref="A33:I33"/>
    <mergeCell ref="A34:I34"/>
    <mergeCell ref="A35:I35"/>
    <mergeCell ref="A52:I52"/>
    <mergeCell ref="A53:I53"/>
    <mergeCell ref="A54:I54"/>
    <mergeCell ref="A55:I55"/>
    <mergeCell ref="A56:I56"/>
    <mergeCell ref="A57:I57"/>
    <mergeCell ref="A42:I42"/>
    <mergeCell ref="A43:I43"/>
    <mergeCell ref="A44:I44"/>
    <mergeCell ref="A49:M49"/>
    <mergeCell ref="A50:I50"/>
    <mergeCell ref="A51:I51"/>
    <mergeCell ref="A64:I64"/>
    <mergeCell ref="A65:I65"/>
    <mergeCell ref="A66:I66"/>
    <mergeCell ref="A72:M72"/>
    <mergeCell ref="A73:I73"/>
    <mergeCell ref="A74:I74"/>
    <mergeCell ref="A58:I58"/>
    <mergeCell ref="A59:I59"/>
    <mergeCell ref="A60:I60"/>
    <mergeCell ref="A61:I61"/>
    <mergeCell ref="A62:I62"/>
    <mergeCell ref="A63:I63"/>
    <mergeCell ref="A81:I81"/>
    <mergeCell ref="A82:I82"/>
    <mergeCell ref="A83:I83"/>
    <mergeCell ref="A84:I84"/>
    <mergeCell ref="A85:I85"/>
    <mergeCell ref="A86:I86"/>
    <mergeCell ref="A75:I75"/>
    <mergeCell ref="A76:I76"/>
    <mergeCell ref="A77:I77"/>
    <mergeCell ref="A78:I78"/>
    <mergeCell ref="A79:I79"/>
    <mergeCell ref="A80:I80"/>
    <mergeCell ref="A96:I96"/>
    <mergeCell ref="A97:I97"/>
    <mergeCell ref="A98:I98"/>
    <mergeCell ref="A99:I99"/>
    <mergeCell ref="A100:I100"/>
    <mergeCell ref="A101:I101"/>
    <mergeCell ref="A87:I87"/>
    <mergeCell ref="A88:I88"/>
    <mergeCell ref="A89:I89"/>
    <mergeCell ref="A93:M93"/>
    <mergeCell ref="A94:I94"/>
    <mergeCell ref="A95:I95"/>
    <mergeCell ref="A108:I108"/>
    <mergeCell ref="A109:I109"/>
    <mergeCell ref="A110:I110"/>
    <mergeCell ref="A114:M114"/>
    <mergeCell ref="A115:I115"/>
    <mergeCell ref="A116:I116"/>
    <mergeCell ref="A102:I102"/>
    <mergeCell ref="A103:I103"/>
    <mergeCell ref="A104:I104"/>
    <mergeCell ref="A105:I105"/>
    <mergeCell ref="A106:I106"/>
    <mergeCell ref="A107:I107"/>
    <mergeCell ref="A125:I125"/>
    <mergeCell ref="A126:I126"/>
    <mergeCell ref="A127:I127"/>
    <mergeCell ref="A128:I128"/>
    <mergeCell ref="A117:I117"/>
    <mergeCell ref="A118:I118"/>
    <mergeCell ref="A119:I119"/>
    <mergeCell ref="A120:I120"/>
    <mergeCell ref="A121:I121"/>
    <mergeCell ref="A122:I122"/>
    <mergeCell ref="A21:E21"/>
    <mergeCell ref="A150:I150"/>
    <mergeCell ref="A151:I151"/>
    <mergeCell ref="A197:I197"/>
    <mergeCell ref="A144:I144"/>
    <mergeCell ref="A145:I145"/>
    <mergeCell ref="A146:I146"/>
    <mergeCell ref="A147:I147"/>
    <mergeCell ref="A148:I148"/>
    <mergeCell ref="A149:I149"/>
    <mergeCell ref="A138:I138"/>
    <mergeCell ref="A139:I139"/>
    <mergeCell ref="A140:I140"/>
    <mergeCell ref="A141:I141"/>
    <mergeCell ref="A142:I142"/>
    <mergeCell ref="A143:I143"/>
    <mergeCell ref="A129:I129"/>
    <mergeCell ref="A130:I130"/>
    <mergeCell ref="A131:I131"/>
    <mergeCell ref="A135:M135"/>
    <mergeCell ref="A136:I136"/>
    <mergeCell ref="A137:I137"/>
    <mergeCell ref="A123:I123"/>
    <mergeCell ref="A124:I124"/>
    <mergeCell ref="A155:M155"/>
    <mergeCell ref="A156:I156"/>
    <mergeCell ref="A157:I157"/>
    <mergeCell ref="A158:I158"/>
    <mergeCell ref="A159:I159"/>
    <mergeCell ref="A160:I160"/>
    <mergeCell ref="A161:I161"/>
    <mergeCell ref="A162:I162"/>
    <mergeCell ref="A163:I163"/>
    <mergeCell ref="A164:I164"/>
    <mergeCell ref="A165:I165"/>
    <mergeCell ref="A166:I166"/>
    <mergeCell ref="A167:I167"/>
    <mergeCell ref="A168:I168"/>
    <mergeCell ref="A169:I169"/>
    <mergeCell ref="A170:I170"/>
    <mergeCell ref="A171:I171"/>
    <mergeCell ref="A172:I172"/>
  </mergeCells>
  <pageMargins left="0" right="0" top="0.74803149606299213" bottom="0.74803149606299213" header="0.31496062992125984" footer="0.31496062992125984"/>
  <pageSetup paperSize="9" scale="76" fitToHeight="0" orientation="landscape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A71ED-F069-4601-B433-D2739F8823DD}">
  <sheetPr>
    <pageSetUpPr fitToPage="1"/>
  </sheetPr>
  <dimension ref="A1:T491"/>
  <sheetViews>
    <sheetView tabSelected="1" workbookViewId="0">
      <selection activeCell="Q19" sqref="Q19"/>
    </sheetView>
  </sheetViews>
  <sheetFormatPr defaultRowHeight="15" x14ac:dyDescent="0.25"/>
  <cols>
    <col min="1" max="1" width="9.42578125" bestFit="1" customWidth="1"/>
    <col min="7" max="7" width="9.42578125" bestFit="1" customWidth="1"/>
    <col min="10" max="10" width="16.5703125" customWidth="1"/>
    <col min="11" max="11" width="16" bestFit="1" customWidth="1"/>
    <col min="12" max="12" width="16.140625" bestFit="1" customWidth="1"/>
    <col min="13" max="13" width="13.42578125" customWidth="1"/>
    <col min="14" max="14" width="17.140625" customWidth="1"/>
    <col min="15" max="15" width="10.42578125" bestFit="1" customWidth="1"/>
    <col min="16" max="16" width="14.85546875" bestFit="1" customWidth="1"/>
    <col min="18" max="18" width="11.140625" customWidth="1"/>
    <col min="19" max="19" width="13.140625" customWidth="1"/>
  </cols>
  <sheetData>
    <row r="1" spans="1:20" ht="16.5" x14ac:dyDescent="0.25">
      <c r="A1" s="169"/>
      <c r="B1" s="169"/>
      <c r="C1" s="169"/>
      <c r="D1" s="169"/>
      <c r="E1" s="169"/>
      <c r="F1" s="169"/>
      <c r="G1" s="169"/>
      <c r="H1" s="169"/>
      <c r="I1" s="169"/>
      <c r="J1" s="211"/>
      <c r="K1" s="169"/>
      <c r="L1" s="169"/>
      <c r="M1" s="169"/>
      <c r="N1" s="169"/>
      <c r="O1" s="169"/>
      <c r="P1" s="169"/>
      <c r="Q1" s="54"/>
      <c r="R1" s="88"/>
      <c r="S1" s="88"/>
    </row>
    <row r="2" spans="1:20" ht="16.5" x14ac:dyDescent="0.25">
      <c r="A2" s="169"/>
      <c r="B2" s="169"/>
      <c r="C2" s="169"/>
      <c r="D2" s="169"/>
      <c r="E2" s="169"/>
      <c r="F2" s="169"/>
      <c r="G2" s="169"/>
      <c r="H2" s="169"/>
      <c r="I2" s="169" t="s">
        <v>372</v>
      </c>
      <c r="J2" s="211"/>
      <c r="K2" s="1" t="s">
        <v>410</v>
      </c>
      <c r="L2" s="224"/>
      <c r="M2" s="224"/>
      <c r="O2" s="169"/>
      <c r="P2" s="169"/>
      <c r="Q2" s="54"/>
      <c r="R2" s="88"/>
      <c r="S2" s="88"/>
    </row>
    <row r="3" spans="1:20" ht="24" customHeight="1" x14ac:dyDescent="0.25">
      <c r="A3" s="455" t="s">
        <v>331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211"/>
      <c r="O3" s="169"/>
      <c r="P3" s="169"/>
      <c r="Q3" s="54"/>
      <c r="R3" s="88"/>
      <c r="S3" s="88"/>
    </row>
    <row r="4" spans="1:20" ht="24" customHeight="1" x14ac:dyDescent="0.25">
      <c r="A4" s="525" t="s">
        <v>390</v>
      </c>
      <c r="B4" s="526"/>
      <c r="C4" s="526"/>
      <c r="D4" s="526"/>
      <c r="E4" s="526"/>
      <c r="F4" s="526"/>
      <c r="G4" s="526"/>
      <c r="H4" s="526"/>
      <c r="I4" s="527"/>
      <c r="J4" s="245">
        <v>2023</v>
      </c>
      <c r="K4" s="245">
        <v>2024</v>
      </c>
      <c r="L4" s="245">
        <v>2025</v>
      </c>
      <c r="M4" s="244"/>
      <c r="N4" s="211"/>
      <c r="O4" s="169"/>
      <c r="P4" s="169"/>
      <c r="Q4" s="54"/>
      <c r="R4" s="88"/>
      <c r="S4" s="88"/>
    </row>
    <row r="5" spans="1:20" ht="30" customHeight="1" x14ac:dyDescent="0.25">
      <c r="A5" s="528"/>
      <c r="B5" s="529"/>
      <c r="C5" s="529"/>
      <c r="D5" s="529"/>
      <c r="E5" s="529"/>
      <c r="F5" s="529"/>
      <c r="G5" s="529"/>
      <c r="H5" s="529"/>
      <c r="I5" s="530"/>
      <c r="J5" s="164" t="s">
        <v>332</v>
      </c>
      <c r="K5" s="164"/>
      <c r="L5" s="164"/>
      <c r="M5" s="164"/>
      <c r="N5" s="211"/>
      <c r="O5" s="169"/>
      <c r="P5" s="169"/>
      <c r="Q5" s="54"/>
      <c r="R5" s="88"/>
      <c r="S5" s="88"/>
    </row>
    <row r="6" spans="1:20" ht="16.5" x14ac:dyDescent="0.25">
      <c r="A6" s="455" t="s">
        <v>170</v>
      </c>
      <c r="B6" s="456"/>
      <c r="C6" s="456"/>
      <c r="D6" s="456"/>
      <c r="E6" s="456"/>
      <c r="F6" s="456"/>
      <c r="G6" s="456"/>
      <c r="H6" s="456"/>
      <c r="I6" s="457"/>
      <c r="J6" s="254">
        <f>SUM(J7:J9)</f>
        <v>1005979.4234</v>
      </c>
      <c r="K6" s="254">
        <f>SUM(K7:K9)</f>
        <v>1008016.5434</v>
      </c>
      <c r="L6" s="254">
        <f>SUM(L7:L9)</f>
        <v>1006229.0734</v>
      </c>
      <c r="M6" s="204"/>
      <c r="N6" s="211"/>
      <c r="O6" s="169"/>
      <c r="P6" s="169"/>
      <c r="Q6" s="54"/>
      <c r="R6" s="88"/>
      <c r="S6" s="88"/>
    </row>
    <row r="7" spans="1:20" ht="16.5" x14ac:dyDescent="0.25">
      <c r="A7" s="510" t="s">
        <v>178</v>
      </c>
      <c r="B7" s="511"/>
      <c r="C7" s="511"/>
      <c r="D7" s="511"/>
      <c r="E7" s="511"/>
      <c r="F7" s="511"/>
      <c r="G7" s="511"/>
      <c r="H7" s="511"/>
      <c r="I7" s="512"/>
      <c r="J7" s="250">
        <f>1393819.86*69%</f>
        <v>961735.7034</v>
      </c>
      <c r="K7" s="250">
        <f>1393819.86*69%</f>
        <v>961735.7034</v>
      </c>
      <c r="L7" s="250">
        <f>1393819.86*69%</f>
        <v>961735.7034</v>
      </c>
      <c r="M7" s="172"/>
      <c r="N7" s="211"/>
      <c r="O7" s="169"/>
      <c r="P7" s="169"/>
      <c r="Q7" s="67"/>
      <c r="R7" s="67"/>
      <c r="S7" s="67"/>
    </row>
    <row r="8" spans="1:20" ht="45" customHeight="1" x14ac:dyDescent="0.25">
      <c r="A8" s="510" t="s">
        <v>297</v>
      </c>
      <c r="B8" s="511"/>
      <c r="C8" s="511"/>
      <c r="D8" s="511"/>
      <c r="E8" s="511"/>
      <c r="F8" s="511"/>
      <c r="G8" s="511"/>
      <c r="H8" s="511"/>
      <c r="I8" s="512"/>
      <c r="J8" s="250">
        <f>10728.67+15267.22</f>
        <v>25995.89</v>
      </c>
      <c r="K8" s="250">
        <f>11790.93+16242.08</f>
        <v>28033.010000000002</v>
      </c>
      <c r="L8" s="250">
        <f>11790.93+14454.61</f>
        <v>26245.54</v>
      </c>
      <c r="M8" s="172"/>
      <c r="N8" s="211"/>
      <c r="O8" s="169"/>
      <c r="P8" s="169"/>
      <c r="Q8" s="9"/>
      <c r="R8" s="67"/>
      <c r="S8" s="67"/>
    </row>
    <row r="9" spans="1:20" ht="16.5" x14ac:dyDescent="0.25">
      <c r="A9" s="414" t="s">
        <v>175</v>
      </c>
      <c r="B9" s="415"/>
      <c r="C9" s="415"/>
      <c r="D9" s="415"/>
      <c r="E9" s="415"/>
      <c r="F9" s="415"/>
      <c r="G9" s="415"/>
      <c r="H9" s="415"/>
      <c r="I9" s="416"/>
      <c r="J9" s="250">
        <v>18247.830000000002</v>
      </c>
      <c r="K9" s="250">
        <v>18247.830000000002</v>
      </c>
      <c r="L9" s="250">
        <v>18247.830000000002</v>
      </c>
      <c r="M9" s="172"/>
      <c r="N9" s="211"/>
      <c r="O9" s="169"/>
      <c r="P9" s="169"/>
    </row>
    <row r="10" spans="1:20" ht="16.5" x14ac:dyDescent="0.25">
      <c r="A10" s="519" t="s">
        <v>177</v>
      </c>
      <c r="B10" s="520"/>
      <c r="C10" s="520"/>
      <c r="D10" s="520"/>
      <c r="E10" s="520"/>
      <c r="F10" s="520"/>
      <c r="G10" s="520"/>
      <c r="H10" s="520"/>
      <c r="I10" s="521"/>
      <c r="J10" s="247">
        <f>J11+J12+J16+J18+J19</f>
        <v>595175.00660000008</v>
      </c>
      <c r="K10" s="247">
        <f t="shared" ref="K10:L10" si="0">K11+K12+K16+K18+K19</f>
        <v>595175.01660000009</v>
      </c>
      <c r="L10" s="247">
        <f t="shared" si="0"/>
        <v>595175.01660000009</v>
      </c>
      <c r="M10" s="204"/>
      <c r="N10" s="211"/>
      <c r="O10" s="169"/>
      <c r="P10" s="169"/>
      <c r="Q10" s="67"/>
      <c r="R10" s="67"/>
    </row>
    <row r="11" spans="1:20" ht="16.5" x14ac:dyDescent="0.25">
      <c r="A11" s="510" t="s">
        <v>179</v>
      </c>
      <c r="B11" s="511"/>
      <c r="C11" s="511"/>
      <c r="D11" s="511"/>
      <c r="E11" s="511"/>
      <c r="F11" s="511"/>
      <c r="G11" s="511"/>
      <c r="H11" s="511"/>
      <c r="I11" s="512"/>
      <c r="J11" s="250">
        <f>1393819.86-J7</f>
        <v>432084.1566000001</v>
      </c>
      <c r="K11" s="250">
        <f>1393819.86-K7</f>
        <v>432084.1566000001</v>
      </c>
      <c r="L11" s="250">
        <f>1393819.86-L7</f>
        <v>432084.1566000001</v>
      </c>
      <c r="M11" s="172"/>
      <c r="N11" s="211"/>
      <c r="O11" s="211"/>
      <c r="P11" s="211"/>
      <c r="Q11" s="88"/>
      <c r="R11" s="88"/>
      <c r="S11" s="88"/>
      <c r="T11" s="140"/>
    </row>
    <row r="12" spans="1:20" ht="16.5" x14ac:dyDescent="0.25">
      <c r="A12" s="414" t="s">
        <v>171</v>
      </c>
      <c r="B12" s="415"/>
      <c r="C12" s="415"/>
      <c r="D12" s="415"/>
      <c r="E12" s="415"/>
      <c r="F12" s="415"/>
      <c r="G12" s="415"/>
      <c r="H12" s="415"/>
      <c r="I12" s="416"/>
      <c r="J12" s="250">
        <f>SUM(J13:J15)</f>
        <v>64076.905956112852</v>
      </c>
      <c r="K12" s="250">
        <f>SUM(K13:K15)</f>
        <v>66639.97962382446</v>
      </c>
      <c r="L12" s="250">
        <f>SUM(L13:L15)</f>
        <v>69305.573667711607</v>
      </c>
      <c r="M12" s="172"/>
      <c r="N12" s="211"/>
      <c r="O12" s="211"/>
      <c r="P12" s="211"/>
      <c r="Q12" s="88"/>
      <c r="R12" s="88"/>
      <c r="S12" s="88"/>
      <c r="T12" s="140"/>
    </row>
    <row r="13" spans="1:20" ht="16.5" x14ac:dyDescent="0.25">
      <c r="A13" s="414" t="s">
        <v>172</v>
      </c>
      <c r="B13" s="415"/>
      <c r="C13" s="415"/>
      <c r="D13" s="415"/>
      <c r="E13" s="415"/>
      <c r="F13" s="415"/>
      <c r="G13" s="415"/>
      <c r="H13" s="415"/>
      <c r="I13" s="416"/>
      <c r="J13" s="250">
        <f>1063234/638*0.9*10</f>
        <v>14998.598746081505</v>
      </c>
      <c r="K13" s="250">
        <f>1105763/638*0.9*10</f>
        <v>15598.537617554859</v>
      </c>
      <c r="L13" s="250">
        <f>1149994/638*0.9*10</f>
        <v>16222.485893416928</v>
      </c>
      <c r="M13" s="172"/>
      <c r="N13" s="211"/>
      <c r="O13" s="211"/>
      <c r="P13" s="211"/>
      <c r="Q13" s="88"/>
      <c r="R13" s="88"/>
      <c r="S13" s="88"/>
      <c r="T13" s="67"/>
    </row>
    <row r="14" spans="1:20" ht="16.5" x14ac:dyDescent="0.25">
      <c r="A14" s="414" t="s">
        <v>173</v>
      </c>
      <c r="B14" s="415"/>
      <c r="C14" s="415"/>
      <c r="D14" s="415"/>
      <c r="E14" s="415"/>
      <c r="F14" s="415"/>
      <c r="G14" s="415"/>
      <c r="H14" s="415"/>
      <c r="I14" s="416"/>
      <c r="J14" s="250">
        <f>3176838/638*0.5*10</f>
        <v>24896.849529780564</v>
      </c>
      <c r="K14" s="250">
        <f>3303912/638*0.5*10</f>
        <v>25892.727272727276</v>
      </c>
      <c r="L14" s="250">
        <f>3436068/638*0.5*10</f>
        <v>26928.432601880879</v>
      </c>
      <c r="M14" s="172"/>
      <c r="N14" s="211"/>
      <c r="O14" s="211"/>
      <c r="P14" s="211"/>
      <c r="Q14" s="88"/>
      <c r="R14" s="88"/>
      <c r="S14" s="88"/>
      <c r="T14" s="67"/>
    </row>
    <row r="15" spans="1:20" ht="16.5" x14ac:dyDescent="0.25">
      <c r="A15" s="414" t="s">
        <v>174</v>
      </c>
      <c r="B15" s="415"/>
      <c r="C15" s="415"/>
      <c r="D15" s="415"/>
      <c r="E15" s="415"/>
      <c r="F15" s="415"/>
      <c r="G15" s="415"/>
      <c r="H15" s="415"/>
      <c r="I15" s="416"/>
      <c r="J15" s="250">
        <f>1542777/638*10</f>
        <v>24181.457680250784</v>
      </c>
      <c r="K15" s="250">
        <f>1604488/638*10</f>
        <v>25148.714733542321</v>
      </c>
      <c r="L15" s="250">
        <f>1668667/638*10</f>
        <v>26154.655172413797</v>
      </c>
      <c r="M15" s="172"/>
      <c r="N15" s="211"/>
      <c r="O15" s="211"/>
      <c r="P15" s="211"/>
      <c r="Q15" s="88"/>
      <c r="R15" s="88"/>
      <c r="S15" s="88"/>
      <c r="T15" s="67"/>
    </row>
    <row r="16" spans="1:20" ht="16.5" x14ac:dyDescent="0.25">
      <c r="A16" s="414" t="s">
        <v>180</v>
      </c>
      <c r="B16" s="415"/>
      <c r="C16" s="415"/>
      <c r="D16" s="415"/>
      <c r="E16" s="415"/>
      <c r="F16" s="415"/>
      <c r="G16" s="415"/>
      <c r="H16" s="415"/>
      <c r="I16" s="416"/>
      <c r="J16" s="250">
        <v>3193.51</v>
      </c>
      <c r="K16" s="250">
        <v>3193.51</v>
      </c>
      <c r="L16" s="250">
        <v>3193.51</v>
      </c>
      <c r="M16" s="172"/>
      <c r="N16" s="211"/>
      <c r="O16" s="211"/>
      <c r="P16" s="211"/>
      <c r="Q16" s="88"/>
      <c r="R16" s="88"/>
      <c r="S16" s="88"/>
      <c r="T16" s="67"/>
    </row>
    <row r="17" spans="1:20" ht="16.5" x14ac:dyDescent="0.25">
      <c r="A17" s="414" t="s">
        <v>181</v>
      </c>
      <c r="B17" s="415"/>
      <c r="C17" s="415"/>
      <c r="D17" s="415"/>
      <c r="E17" s="415"/>
      <c r="F17" s="415"/>
      <c r="G17" s="415"/>
      <c r="H17" s="415"/>
      <c r="I17" s="416"/>
      <c r="J17" s="255"/>
      <c r="K17" s="250"/>
      <c r="L17" s="250"/>
      <c r="M17" s="172"/>
      <c r="N17" s="211"/>
      <c r="O17" s="211"/>
      <c r="P17" s="211"/>
      <c r="Q17" s="88"/>
      <c r="R17" s="88"/>
      <c r="S17" s="88"/>
      <c r="T17" s="67"/>
    </row>
    <row r="18" spans="1:20" ht="53.25" customHeight="1" x14ac:dyDescent="0.25">
      <c r="A18" s="513" t="s">
        <v>295</v>
      </c>
      <c r="B18" s="514"/>
      <c r="C18" s="514"/>
      <c r="D18" s="514"/>
      <c r="E18" s="514"/>
      <c r="F18" s="514"/>
      <c r="G18" s="514"/>
      <c r="H18" s="514"/>
      <c r="I18" s="515"/>
      <c r="J18" s="250">
        <v>10680.47</v>
      </c>
      <c r="K18" s="250">
        <v>10680.47</v>
      </c>
      <c r="L18" s="250">
        <v>10680.47</v>
      </c>
      <c r="M18" s="172"/>
      <c r="N18" s="211"/>
      <c r="O18" s="211"/>
      <c r="P18" s="211"/>
      <c r="Q18" s="88"/>
      <c r="R18" s="88"/>
      <c r="S18" s="88"/>
      <c r="T18" s="67"/>
    </row>
    <row r="19" spans="1:20" ht="114" customHeight="1" x14ac:dyDescent="0.25">
      <c r="A19" s="510" t="s">
        <v>300</v>
      </c>
      <c r="B19" s="511"/>
      <c r="C19" s="511"/>
      <c r="D19" s="511"/>
      <c r="E19" s="511"/>
      <c r="F19" s="511"/>
      <c r="G19" s="511"/>
      <c r="H19" s="511"/>
      <c r="I19" s="512"/>
      <c r="J19" s="253">
        <f>51103.05+81363.45+16750.37-J12</f>
        <v>85139.964043887143</v>
      </c>
      <c r="K19" s="253">
        <f>51103.05+81363.45+16750.38-K12</f>
        <v>82576.900376175545</v>
      </c>
      <c r="L19" s="253">
        <f>51103.05+81363.45+16750.38-L12</f>
        <v>79911.306332288397</v>
      </c>
      <c r="M19" s="172"/>
      <c r="N19" s="211"/>
      <c r="O19" s="211"/>
      <c r="P19" s="211"/>
      <c r="Q19" s="88"/>
      <c r="R19" s="88"/>
      <c r="S19" s="88"/>
      <c r="T19" s="67"/>
    </row>
    <row r="20" spans="1:20" ht="16.5" x14ac:dyDescent="0.25">
      <c r="A20" s="452" t="s">
        <v>183</v>
      </c>
      <c r="B20" s="453"/>
      <c r="C20" s="453"/>
      <c r="D20" s="453"/>
      <c r="E20" s="453"/>
      <c r="F20" s="453"/>
      <c r="G20" s="453"/>
      <c r="H20" s="453"/>
      <c r="I20" s="454"/>
      <c r="J20" s="247">
        <f>J6+J10</f>
        <v>1601154.4300000002</v>
      </c>
      <c r="K20" s="247">
        <f>K6+K10</f>
        <v>1603191.56</v>
      </c>
      <c r="L20" s="247">
        <f>L6+L10</f>
        <v>1601404.09</v>
      </c>
      <c r="M20" s="175"/>
      <c r="N20" s="211"/>
      <c r="O20" s="211"/>
      <c r="P20" s="211"/>
      <c r="Q20" s="88"/>
      <c r="R20" s="88"/>
      <c r="S20" s="88"/>
      <c r="T20" s="67"/>
    </row>
    <row r="21" spans="1:20" ht="16.5" x14ac:dyDescent="0.25">
      <c r="A21" s="414" t="s">
        <v>355</v>
      </c>
      <c r="B21" s="415"/>
      <c r="C21" s="415"/>
      <c r="D21" s="415"/>
      <c r="E21" s="415"/>
      <c r="F21" s="415"/>
      <c r="G21" s="415"/>
      <c r="H21" s="415"/>
      <c r="I21" s="416"/>
      <c r="J21" s="253">
        <f>J20/H22</f>
        <v>160115.44300000003</v>
      </c>
      <c r="K21" s="253">
        <f>K20/H22</f>
        <v>160319.15600000002</v>
      </c>
      <c r="L21" s="253">
        <f>L20/H22</f>
        <v>160140.40900000001</v>
      </c>
      <c r="M21" s="167"/>
      <c r="N21" s="211"/>
      <c r="O21" s="211"/>
      <c r="P21" s="211"/>
      <c r="Q21" s="88"/>
      <c r="R21" s="88"/>
      <c r="S21" s="88"/>
      <c r="T21" s="67"/>
    </row>
    <row r="22" spans="1:20" ht="16.5" x14ac:dyDescent="0.25">
      <c r="A22" s="232"/>
      <c r="B22" s="232"/>
      <c r="C22" s="232"/>
      <c r="D22" s="232"/>
      <c r="E22" s="232"/>
      <c r="F22" s="232"/>
      <c r="G22" s="232"/>
      <c r="H22" s="232">
        <v>10</v>
      </c>
      <c r="I22" s="232"/>
      <c r="J22" s="210"/>
      <c r="K22" s="210"/>
      <c r="L22" s="210"/>
      <c r="M22" s="210"/>
      <c r="N22" s="211"/>
      <c r="O22" s="211"/>
      <c r="P22" s="211"/>
      <c r="Q22" s="88"/>
      <c r="R22" s="88"/>
      <c r="S22" s="88"/>
      <c r="T22" s="67"/>
    </row>
    <row r="23" spans="1:20" ht="16.5" x14ac:dyDescent="0.25">
      <c r="A23" s="232"/>
      <c r="B23" s="232"/>
      <c r="C23" s="232"/>
      <c r="D23" s="232"/>
      <c r="E23" s="232"/>
      <c r="F23" s="232"/>
      <c r="G23" s="232"/>
      <c r="H23" s="232"/>
      <c r="I23" s="232"/>
      <c r="J23" s="169"/>
      <c r="K23" s="169"/>
      <c r="L23" s="169"/>
      <c r="M23" s="169"/>
      <c r="N23" s="211"/>
      <c r="O23" s="211"/>
      <c r="P23" s="211"/>
      <c r="Q23" s="88"/>
      <c r="R23" s="88"/>
      <c r="S23" s="88"/>
      <c r="T23" s="67"/>
    </row>
    <row r="24" spans="1:20" ht="16.5" x14ac:dyDescent="0.25">
      <c r="A24" s="232"/>
      <c r="B24" s="232"/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M24" s="232"/>
      <c r="N24" s="211"/>
      <c r="O24" s="211"/>
      <c r="P24" s="211"/>
      <c r="Q24" s="88"/>
      <c r="R24" s="88"/>
      <c r="S24" s="88"/>
      <c r="T24" s="67"/>
    </row>
    <row r="25" spans="1:20" ht="16.5" x14ac:dyDescent="0.25">
      <c r="A25" s="169"/>
      <c r="B25" s="169"/>
      <c r="C25" s="169"/>
      <c r="D25" s="169"/>
      <c r="E25" s="169"/>
      <c r="F25" s="169"/>
      <c r="G25" s="169"/>
      <c r="H25" s="169"/>
      <c r="I25" s="169"/>
      <c r="J25" s="211"/>
      <c r="K25" s="169" t="s">
        <v>348</v>
      </c>
      <c r="L25" s="169"/>
      <c r="M25" s="169"/>
      <c r="N25" s="211"/>
      <c r="O25" s="211"/>
      <c r="P25" s="211"/>
      <c r="Q25" s="88"/>
      <c r="R25" s="88"/>
      <c r="S25" s="88"/>
      <c r="T25" s="67"/>
    </row>
    <row r="26" spans="1:20" ht="16.5" x14ac:dyDescent="0.25">
      <c r="A26" s="455" t="s">
        <v>356</v>
      </c>
      <c r="B26" s="456"/>
      <c r="C26" s="456"/>
      <c r="D26" s="456"/>
      <c r="E26" s="456"/>
      <c r="F26" s="456"/>
      <c r="G26" s="456"/>
      <c r="H26" s="456"/>
      <c r="I26" s="456"/>
      <c r="J26" s="456"/>
      <c r="K26" s="456"/>
      <c r="L26" s="456"/>
      <c r="M26" s="456"/>
      <c r="N26" s="211"/>
      <c r="O26" s="211"/>
      <c r="P26" s="211"/>
      <c r="Q26" s="88"/>
      <c r="R26" s="88"/>
      <c r="S26" s="88"/>
    </row>
    <row r="27" spans="1:20" ht="37.5" customHeight="1" x14ac:dyDescent="0.25">
      <c r="A27" s="469" t="s">
        <v>390</v>
      </c>
      <c r="B27" s="470"/>
      <c r="C27" s="470"/>
      <c r="D27" s="470"/>
      <c r="E27" s="470"/>
      <c r="F27" s="470"/>
      <c r="G27" s="470"/>
      <c r="H27" s="470"/>
      <c r="I27" s="471"/>
      <c r="J27" s="164" t="s">
        <v>391</v>
      </c>
      <c r="K27" s="246">
        <v>2024</v>
      </c>
      <c r="L27" s="246">
        <v>2025</v>
      </c>
      <c r="M27" s="164"/>
      <c r="N27" s="211"/>
      <c r="O27" s="211"/>
      <c r="P27" s="211"/>
      <c r="Q27" s="88"/>
      <c r="R27" s="88"/>
      <c r="S27" s="88"/>
    </row>
    <row r="28" spans="1:20" ht="16.5" x14ac:dyDescent="0.25">
      <c r="A28" s="455" t="s">
        <v>170</v>
      </c>
      <c r="B28" s="456"/>
      <c r="C28" s="456"/>
      <c r="D28" s="456"/>
      <c r="E28" s="456"/>
      <c r="F28" s="456"/>
      <c r="G28" s="456"/>
      <c r="H28" s="456"/>
      <c r="I28" s="457"/>
      <c r="J28" s="225">
        <f>SUM(J29:J31)</f>
        <v>1964736.8197999997</v>
      </c>
      <c r="K28" s="225">
        <f t="shared" ref="K28:L28" si="1">SUM(K29:K31)</f>
        <v>1974017.0497999997</v>
      </c>
      <c r="L28" s="225">
        <f t="shared" si="1"/>
        <v>1965874.1297999998</v>
      </c>
      <c r="M28" s="204"/>
      <c r="N28" s="169"/>
      <c r="O28" s="169"/>
      <c r="P28" s="169"/>
    </row>
    <row r="29" spans="1:20" ht="16.5" x14ac:dyDescent="0.25">
      <c r="A29" s="510" t="s">
        <v>178</v>
      </c>
      <c r="B29" s="511"/>
      <c r="C29" s="511"/>
      <c r="D29" s="511"/>
      <c r="E29" s="511"/>
      <c r="F29" s="511"/>
      <c r="G29" s="511"/>
      <c r="H29" s="511"/>
      <c r="I29" s="512"/>
      <c r="J29" s="173">
        <f>2555336.42*69%</f>
        <v>1763182.1297999998</v>
      </c>
      <c r="K29" s="173">
        <f>J29</f>
        <v>1763182.1297999998</v>
      </c>
      <c r="L29" s="173">
        <f>J29</f>
        <v>1763182.1297999998</v>
      </c>
      <c r="M29" s="172"/>
      <c r="N29" s="210"/>
      <c r="O29" s="169"/>
      <c r="P29" s="169"/>
    </row>
    <row r="30" spans="1:20" ht="49.5" customHeight="1" x14ac:dyDescent="0.25">
      <c r="A30" s="510" t="s">
        <v>297</v>
      </c>
      <c r="B30" s="511"/>
      <c r="C30" s="511"/>
      <c r="D30" s="511"/>
      <c r="E30" s="511"/>
      <c r="F30" s="511"/>
      <c r="G30" s="511"/>
      <c r="H30" s="511"/>
      <c r="I30" s="512"/>
      <c r="J30" s="173">
        <f>48875.04+69550.66</f>
        <v>118425.70000000001</v>
      </c>
      <c r="K30" s="173">
        <f>53714.23+73991.7</f>
        <v>127705.93</v>
      </c>
      <c r="L30" s="173">
        <f>65848.78+53714.23</f>
        <v>119563.01000000001</v>
      </c>
      <c r="M30" s="172"/>
      <c r="N30" s="169"/>
      <c r="O30" s="169"/>
      <c r="P30" s="169"/>
    </row>
    <row r="31" spans="1:20" ht="16.5" x14ac:dyDescent="0.25">
      <c r="A31" s="414" t="s">
        <v>175</v>
      </c>
      <c r="B31" s="415"/>
      <c r="C31" s="415"/>
      <c r="D31" s="415"/>
      <c r="E31" s="415"/>
      <c r="F31" s="415"/>
      <c r="G31" s="415"/>
      <c r="H31" s="415"/>
      <c r="I31" s="416"/>
      <c r="J31" s="173">
        <v>83128.990000000005</v>
      </c>
      <c r="K31" s="173">
        <v>83128.990000000005</v>
      </c>
      <c r="L31" s="173">
        <v>83128.990000000005</v>
      </c>
      <c r="M31" s="172"/>
      <c r="N31" s="210"/>
      <c r="O31" s="169"/>
      <c r="P31" s="169"/>
    </row>
    <row r="32" spans="1:20" ht="16.5" x14ac:dyDescent="0.25">
      <c r="A32" s="519" t="s">
        <v>177</v>
      </c>
      <c r="B32" s="520"/>
      <c r="C32" s="520"/>
      <c r="D32" s="520"/>
      <c r="E32" s="520"/>
      <c r="F32" s="520"/>
      <c r="G32" s="520"/>
      <c r="H32" s="520"/>
      <c r="I32" s="521"/>
      <c r="J32" s="205">
        <f>J33+J34+J38+J40+J41</f>
        <v>1535123.7502000001</v>
      </c>
      <c r="K32" s="205">
        <f t="shared" ref="K32:L32" si="2">K33+K34+K38+K40+K41</f>
        <v>1535123.7502000001</v>
      </c>
      <c r="L32" s="205">
        <f t="shared" si="2"/>
        <v>1535123.7502000001</v>
      </c>
      <c r="M32" s="204"/>
      <c r="N32" s="169"/>
      <c r="O32" s="169"/>
      <c r="P32" s="169"/>
    </row>
    <row r="33" spans="1:16" ht="16.5" x14ac:dyDescent="0.25">
      <c r="A33" s="510" t="s">
        <v>179</v>
      </c>
      <c r="B33" s="511"/>
      <c r="C33" s="511"/>
      <c r="D33" s="511"/>
      <c r="E33" s="511"/>
      <c r="F33" s="511"/>
      <c r="G33" s="511"/>
      <c r="H33" s="511"/>
      <c r="I33" s="512"/>
      <c r="J33" s="173">
        <f>2555336.42-J29</f>
        <v>792154.29020000016</v>
      </c>
      <c r="K33" s="173">
        <f>J33</f>
        <v>792154.29020000016</v>
      </c>
      <c r="L33" s="173">
        <f>J33</f>
        <v>792154.29020000016</v>
      </c>
      <c r="M33" s="172"/>
      <c r="N33" s="210"/>
      <c r="O33" s="169"/>
      <c r="P33" s="169"/>
    </row>
    <row r="34" spans="1:16" ht="16.5" x14ac:dyDescent="0.25">
      <c r="A34" s="414" t="s">
        <v>171</v>
      </c>
      <c r="B34" s="415"/>
      <c r="C34" s="415"/>
      <c r="D34" s="415"/>
      <c r="E34" s="415"/>
      <c r="F34" s="415"/>
      <c r="G34" s="415"/>
      <c r="H34" s="415"/>
      <c r="I34" s="416"/>
      <c r="J34" s="173">
        <f>SUM(J35:J37)</f>
        <v>76892.287147335417</v>
      </c>
      <c r="K34" s="173">
        <f>SUM(K35:K37)</f>
        <v>81959.559874608152</v>
      </c>
      <c r="L34" s="173">
        <f>SUM(L35:L37)</f>
        <v>83166.688401253923</v>
      </c>
      <c r="M34" s="172"/>
      <c r="N34" s="169"/>
      <c r="O34" s="169"/>
      <c r="P34" s="169"/>
    </row>
    <row r="35" spans="1:16" ht="16.5" x14ac:dyDescent="0.25">
      <c r="A35" s="414" t="s">
        <v>172</v>
      </c>
      <c r="B35" s="415"/>
      <c r="C35" s="415"/>
      <c r="D35" s="415"/>
      <c r="E35" s="415"/>
      <c r="F35" s="415"/>
      <c r="G35" s="415"/>
      <c r="H35" s="415"/>
      <c r="I35" s="416"/>
      <c r="J35" s="173">
        <f>1063234/638*0.9*12</f>
        <v>17998.318495297804</v>
      </c>
      <c r="K35" s="173">
        <f>1149994/638*0.9*12</f>
        <v>19466.983072100316</v>
      </c>
      <c r="L35" s="173">
        <f>1149994/638*0.9*12</f>
        <v>19466.983072100316</v>
      </c>
      <c r="M35" s="172"/>
      <c r="N35" s="169"/>
      <c r="O35" s="169"/>
      <c r="P35" s="169"/>
    </row>
    <row r="36" spans="1:16" ht="16.5" x14ac:dyDescent="0.25">
      <c r="A36" s="414" t="s">
        <v>173</v>
      </c>
      <c r="B36" s="415"/>
      <c r="C36" s="415"/>
      <c r="D36" s="415"/>
      <c r="E36" s="415"/>
      <c r="F36" s="415"/>
      <c r="G36" s="415"/>
      <c r="H36" s="415"/>
      <c r="I36" s="416"/>
      <c r="J36" s="173">
        <f>3176838/638*0.5*12</f>
        <v>29876.219435736679</v>
      </c>
      <c r="K36" s="173">
        <f>3436068/638*0.5*12</f>
        <v>32314.119122257052</v>
      </c>
      <c r="L36" s="173">
        <f>3436068/638*0.5*12</f>
        <v>32314.119122257052</v>
      </c>
      <c r="M36" s="172"/>
      <c r="N36" s="169"/>
      <c r="O36" s="169"/>
      <c r="P36" s="169"/>
    </row>
    <row r="37" spans="1:16" ht="16.5" x14ac:dyDescent="0.25">
      <c r="A37" s="414" t="s">
        <v>174</v>
      </c>
      <c r="B37" s="415"/>
      <c r="C37" s="415"/>
      <c r="D37" s="415"/>
      <c r="E37" s="415"/>
      <c r="F37" s="415"/>
      <c r="G37" s="415"/>
      <c r="H37" s="415"/>
      <c r="I37" s="416"/>
      <c r="J37" s="173">
        <f>1542777/638*12</f>
        <v>29017.749216300937</v>
      </c>
      <c r="K37" s="173">
        <f>1604488/638*12</f>
        <v>30178.457680250784</v>
      </c>
      <c r="L37" s="173">
        <f>1668667/638*H44</f>
        <v>31385.586206896554</v>
      </c>
      <c r="M37" s="172"/>
      <c r="N37" s="169"/>
      <c r="O37" s="169"/>
      <c r="P37" s="169"/>
    </row>
    <row r="38" spans="1:16" ht="16.5" x14ac:dyDescent="0.25">
      <c r="A38" s="414" t="s">
        <v>180</v>
      </c>
      <c r="B38" s="415"/>
      <c r="C38" s="415"/>
      <c r="D38" s="415"/>
      <c r="E38" s="415"/>
      <c r="F38" s="415"/>
      <c r="G38" s="415"/>
      <c r="H38" s="415"/>
      <c r="I38" s="416"/>
      <c r="J38" s="173">
        <v>14548.21</v>
      </c>
      <c r="K38" s="173">
        <v>14548.21</v>
      </c>
      <c r="L38" s="173">
        <v>14548.21</v>
      </c>
      <c r="M38" s="172"/>
      <c r="N38" s="169"/>
      <c r="O38" s="169"/>
      <c r="P38" s="169"/>
    </row>
    <row r="39" spans="1:16" ht="16.5" x14ac:dyDescent="0.25">
      <c r="A39" s="414" t="s">
        <v>181</v>
      </c>
      <c r="B39" s="415"/>
      <c r="C39" s="415"/>
      <c r="D39" s="415"/>
      <c r="E39" s="415"/>
      <c r="F39" s="415"/>
      <c r="G39" s="415"/>
      <c r="H39" s="415"/>
      <c r="I39" s="416"/>
      <c r="J39" s="213"/>
      <c r="K39" s="173"/>
      <c r="L39" s="173"/>
      <c r="M39" s="172"/>
      <c r="N39" s="169"/>
      <c r="O39" s="169"/>
      <c r="P39" s="169"/>
    </row>
    <row r="40" spans="1:16" ht="48.75" customHeight="1" x14ac:dyDescent="0.25">
      <c r="A40" s="513" t="s">
        <v>295</v>
      </c>
      <c r="B40" s="514"/>
      <c r="C40" s="514"/>
      <c r="D40" s="514"/>
      <c r="E40" s="514"/>
      <c r="F40" s="514"/>
      <c r="G40" s="514"/>
      <c r="H40" s="514"/>
      <c r="I40" s="515"/>
      <c r="J40" s="173">
        <v>48655.47</v>
      </c>
      <c r="K40" s="173">
        <v>48655.47</v>
      </c>
      <c r="L40" s="173">
        <v>48655.47</v>
      </c>
      <c r="M40" s="172"/>
      <c r="N40" s="169"/>
      <c r="O40" s="169"/>
      <c r="P40" s="169"/>
    </row>
    <row r="41" spans="1:16" ht="60" customHeight="1" x14ac:dyDescent="0.25">
      <c r="A41" s="510" t="s">
        <v>300</v>
      </c>
      <c r="B41" s="511"/>
      <c r="C41" s="511"/>
      <c r="D41" s="511"/>
      <c r="E41" s="511"/>
      <c r="F41" s="511"/>
      <c r="G41" s="511"/>
      <c r="H41" s="511"/>
      <c r="I41" s="512"/>
      <c r="J41" s="200">
        <f>232802.78+370655.71+76307.29-J34</f>
        <v>602873.49285266455</v>
      </c>
      <c r="K41" s="200">
        <f>232802.78+370655.71+76307.29-K34</f>
        <v>597806.22012539185</v>
      </c>
      <c r="L41" s="200">
        <f>232802.78+370655.71+76307.29-L34</f>
        <v>596599.09159874613</v>
      </c>
      <c r="M41" s="172"/>
      <c r="N41" s="169"/>
      <c r="O41" s="169"/>
      <c r="P41" s="169"/>
    </row>
    <row r="42" spans="1:16" ht="16.5" x14ac:dyDescent="0.25">
      <c r="A42" s="452" t="s">
        <v>183</v>
      </c>
      <c r="B42" s="453"/>
      <c r="C42" s="453"/>
      <c r="D42" s="453"/>
      <c r="E42" s="453"/>
      <c r="F42" s="453"/>
      <c r="G42" s="453"/>
      <c r="H42" s="453"/>
      <c r="I42" s="454"/>
      <c r="J42" s="247">
        <f>J28+J32</f>
        <v>3499860.57</v>
      </c>
      <c r="K42" s="247">
        <f t="shared" ref="K42:L42" si="3">K28+K32</f>
        <v>3509140.8</v>
      </c>
      <c r="L42" s="247">
        <f t="shared" si="3"/>
        <v>3500997.88</v>
      </c>
      <c r="M42" s="247"/>
      <c r="N42" s="169"/>
      <c r="O42" s="169"/>
      <c r="P42" s="169"/>
    </row>
    <row r="43" spans="1:16" ht="16.5" x14ac:dyDescent="0.25">
      <c r="A43" s="414" t="s">
        <v>355</v>
      </c>
      <c r="B43" s="415"/>
      <c r="C43" s="415"/>
      <c r="D43" s="415"/>
      <c r="E43" s="415"/>
      <c r="F43" s="415"/>
      <c r="G43" s="415"/>
      <c r="H43" s="415"/>
      <c r="I43" s="416"/>
      <c r="J43" s="200">
        <f>J42/H44</f>
        <v>291655.04749999999</v>
      </c>
      <c r="K43" s="200">
        <f>K42/H44</f>
        <v>292428.39999999997</v>
      </c>
      <c r="L43" s="200">
        <f>L42/H44</f>
        <v>291749.8233333333</v>
      </c>
      <c r="M43" s="167"/>
      <c r="N43" s="169"/>
      <c r="O43" s="169"/>
      <c r="P43" s="169"/>
    </row>
    <row r="44" spans="1:16" ht="16.5" x14ac:dyDescent="0.25">
      <c r="A44" s="232"/>
      <c r="B44" s="232"/>
      <c r="C44" s="232"/>
      <c r="D44" s="232"/>
      <c r="E44" s="232"/>
      <c r="F44" s="232"/>
      <c r="G44" s="232"/>
      <c r="H44" s="232">
        <v>12</v>
      </c>
      <c r="I44" s="232"/>
      <c r="J44" s="210"/>
      <c r="K44" s="210"/>
      <c r="L44" s="210"/>
      <c r="M44" s="210"/>
      <c r="N44" s="169"/>
      <c r="O44" s="169"/>
      <c r="P44" s="169"/>
    </row>
    <row r="45" spans="1:16" ht="16.5" x14ac:dyDescent="0.25">
      <c r="A45" s="232"/>
      <c r="B45" s="232"/>
      <c r="C45" s="232"/>
      <c r="D45" s="232"/>
      <c r="E45" s="232"/>
      <c r="F45" s="232"/>
      <c r="G45" s="232"/>
      <c r="H45" s="232"/>
      <c r="I45" s="232"/>
      <c r="J45" s="232"/>
      <c r="K45" s="232"/>
      <c r="L45" s="232"/>
      <c r="M45" s="232"/>
      <c r="N45" s="169"/>
      <c r="O45" s="169"/>
      <c r="P45" s="169"/>
    </row>
    <row r="46" spans="1:16" ht="16.5" x14ac:dyDescent="0.25">
      <c r="A46" s="169"/>
      <c r="B46" s="169"/>
      <c r="C46" s="169"/>
      <c r="D46" s="169"/>
      <c r="E46" s="169"/>
      <c r="F46" s="169"/>
      <c r="G46" s="169"/>
      <c r="H46" s="169"/>
      <c r="I46" s="169"/>
      <c r="J46" s="211"/>
      <c r="K46" s="169" t="s">
        <v>374</v>
      </c>
      <c r="L46" s="169"/>
      <c r="M46" s="169"/>
      <c r="N46" s="169"/>
      <c r="O46" s="169"/>
      <c r="P46" s="169"/>
    </row>
    <row r="47" spans="1:16" ht="16.5" x14ac:dyDescent="0.25">
      <c r="A47" s="455" t="s">
        <v>357</v>
      </c>
      <c r="B47" s="456"/>
      <c r="C47" s="456"/>
      <c r="D47" s="456"/>
      <c r="E47" s="456"/>
      <c r="F47" s="456"/>
      <c r="G47" s="456"/>
      <c r="H47" s="456"/>
      <c r="I47" s="456"/>
      <c r="J47" s="456"/>
      <c r="K47" s="456"/>
      <c r="L47" s="456"/>
      <c r="M47" s="456"/>
      <c r="N47" s="169"/>
      <c r="O47" s="169"/>
      <c r="P47" s="169"/>
    </row>
    <row r="48" spans="1:16" ht="31.5" customHeight="1" x14ac:dyDescent="0.25">
      <c r="A48" s="469" t="s">
        <v>390</v>
      </c>
      <c r="B48" s="470"/>
      <c r="C48" s="470"/>
      <c r="D48" s="470"/>
      <c r="E48" s="470"/>
      <c r="F48" s="470"/>
      <c r="G48" s="470"/>
      <c r="H48" s="470"/>
      <c r="I48" s="471"/>
      <c r="J48" s="164" t="s">
        <v>391</v>
      </c>
      <c r="K48" s="246">
        <v>2024</v>
      </c>
      <c r="L48" s="246">
        <v>2025</v>
      </c>
      <c r="M48" s="164"/>
      <c r="N48" s="169"/>
      <c r="O48" s="169"/>
      <c r="P48" s="169"/>
    </row>
    <row r="49" spans="1:16" ht="28.5" customHeight="1" x14ac:dyDescent="0.25">
      <c r="A49" s="455" t="s">
        <v>170</v>
      </c>
      <c r="B49" s="456"/>
      <c r="C49" s="456"/>
      <c r="D49" s="456"/>
      <c r="E49" s="456"/>
      <c r="F49" s="456"/>
      <c r="G49" s="456"/>
      <c r="H49" s="456"/>
      <c r="I49" s="457"/>
      <c r="J49" s="205">
        <f>SUM(J50:J52)</f>
        <v>1408640.2926999999</v>
      </c>
      <c r="K49" s="205">
        <f t="shared" ref="K49:L49" si="4">SUM(K50:K52)</f>
        <v>1418146.8626999999</v>
      </c>
      <c r="L49" s="205">
        <f t="shared" si="4"/>
        <v>1409805.3426999999</v>
      </c>
      <c r="M49" s="204"/>
      <c r="N49" s="169"/>
      <c r="O49" s="169"/>
      <c r="P49" s="169"/>
    </row>
    <row r="50" spans="1:16" ht="30" customHeight="1" x14ac:dyDescent="0.25">
      <c r="A50" s="510" t="s">
        <v>178</v>
      </c>
      <c r="B50" s="511"/>
      <c r="C50" s="511"/>
      <c r="D50" s="511"/>
      <c r="E50" s="511"/>
      <c r="F50" s="511"/>
      <c r="G50" s="511"/>
      <c r="H50" s="511"/>
      <c r="I50" s="512"/>
      <c r="J50" s="173">
        <f>1742274.83*69%</f>
        <v>1202169.6327</v>
      </c>
      <c r="K50" s="173">
        <f>1742274.83*69%</f>
        <v>1202169.6327</v>
      </c>
      <c r="L50" s="173">
        <f>1742274.83*69%</f>
        <v>1202169.6327</v>
      </c>
      <c r="M50" s="172"/>
      <c r="N50" s="210"/>
      <c r="O50" s="169"/>
      <c r="P50" s="169"/>
    </row>
    <row r="51" spans="1:16" ht="16.5" x14ac:dyDescent="0.25">
      <c r="A51" s="510" t="s">
        <v>297</v>
      </c>
      <c r="B51" s="511"/>
      <c r="C51" s="511"/>
      <c r="D51" s="511"/>
      <c r="E51" s="511"/>
      <c r="F51" s="511"/>
      <c r="G51" s="511"/>
      <c r="H51" s="511"/>
      <c r="I51" s="512"/>
      <c r="J51" s="173">
        <f>50067.11+71247.02</f>
        <v>121314.13</v>
      </c>
      <c r="K51" s="173">
        <f>55024.33+75796.37</f>
        <v>130820.7</v>
      </c>
      <c r="L51" s="173">
        <f>67454.85+55024.33</f>
        <v>122479.18000000001</v>
      </c>
      <c r="M51" s="172"/>
      <c r="N51" s="169"/>
      <c r="O51" s="169"/>
      <c r="P51" s="169"/>
    </row>
    <row r="52" spans="1:16" ht="16.5" x14ac:dyDescent="0.25">
      <c r="A52" s="414" t="s">
        <v>175</v>
      </c>
      <c r="B52" s="415"/>
      <c r="C52" s="415"/>
      <c r="D52" s="415"/>
      <c r="E52" s="415"/>
      <c r="F52" s="415"/>
      <c r="G52" s="415"/>
      <c r="H52" s="415"/>
      <c r="I52" s="416"/>
      <c r="J52" s="173">
        <v>85156.53</v>
      </c>
      <c r="K52" s="173">
        <v>85156.53</v>
      </c>
      <c r="L52" s="173">
        <v>85156.53</v>
      </c>
      <c r="M52" s="172"/>
      <c r="N52" s="169"/>
      <c r="O52" s="169"/>
      <c r="P52" s="169"/>
    </row>
    <row r="53" spans="1:16" ht="42" customHeight="1" x14ac:dyDescent="0.25">
      <c r="A53" s="519" t="s">
        <v>177</v>
      </c>
      <c r="B53" s="520"/>
      <c r="C53" s="520"/>
      <c r="D53" s="520"/>
      <c r="E53" s="520"/>
      <c r="F53" s="520"/>
      <c r="G53" s="520"/>
      <c r="H53" s="520"/>
      <c r="I53" s="521"/>
      <c r="J53" s="205">
        <f>J54+J55+J59+J61+J62</f>
        <v>1301195.8673</v>
      </c>
      <c r="K53" s="205">
        <f t="shared" ref="K53:L53" si="5">K54+K55+K59+K61+K62</f>
        <v>1301195.8673</v>
      </c>
      <c r="L53" s="205">
        <f t="shared" si="5"/>
        <v>1301195.8673</v>
      </c>
      <c r="M53" s="204"/>
      <c r="N53" s="169"/>
      <c r="O53" s="169"/>
      <c r="P53" s="169"/>
    </row>
    <row r="54" spans="1:16" ht="16.5" x14ac:dyDescent="0.25">
      <c r="A54" s="510" t="s">
        <v>179</v>
      </c>
      <c r="B54" s="511"/>
      <c r="C54" s="511"/>
      <c r="D54" s="511"/>
      <c r="E54" s="511"/>
      <c r="F54" s="511"/>
      <c r="G54" s="511"/>
      <c r="H54" s="511"/>
      <c r="I54" s="512"/>
      <c r="J54" s="173">
        <f>1742274.83-J50</f>
        <v>540105.19730000012</v>
      </c>
      <c r="K54" s="173">
        <f>1742274.83-K50</f>
        <v>540105.19730000012</v>
      </c>
      <c r="L54" s="173">
        <f>1742274.83-L50</f>
        <v>540105.19730000012</v>
      </c>
      <c r="M54" s="172"/>
      <c r="N54" s="210"/>
      <c r="O54" s="169"/>
      <c r="P54" s="169"/>
    </row>
    <row r="55" spans="1:16" ht="16.5" x14ac:dyDescent="0.25">
      <c r="A55" s="414" t="s">
        <v>171</v>
      </c>
      <c r="B55" s="415"/>
      <c r="C55" s="415"/>
      <c r="D55" s="415"/>
      <c r="E55" s="415"/>
      <c r="F55" s="415"/>
      <c r="G55" s="415"/>
      <c r="H55" s="415"/>
      <c r="I55" s="416"/>
      <c r="J55" s="173">
        <f>SUM(J56:J58)</f>
        <v>269123.00501567399</v>
      </c>
      <c r="K55" s="173">
        <f t="shared" ref="K55:L55" si="6">SUM(K56:K58)</f>
        <v>279885.93949843262</v>
      </c>
      <c r="L55" s="173">
        <f t="shared" si="6"/>
        <v>291083.40940438875</v>
      </c>
      <c r="M55" s="172"/>
      <c r="N55" s="210"/>
      <c r="O55" s="169"/>
      <c r="P55" s="169"/>
    </row>
    <row r="56" spans="1:16" ht="16.5" x14ac:dyDescent="0.25">
      <c r="A56" s="414" t="s">
        <v>172</v>
      </c>
      <c r="B56" s="415"/>
      <c r="C56" s="415"/>
      <c r="D56" s="415"/>
      <c r="E56" s="415"/>
      <c r="F56" s="415"/>
      <c r="G56" s="415"/>
      <c r="H56" s="415"/>
      <c r="I56" s="416"/>
      <c r="J56" s="173">
        <f>1063234/638*0.9*42</f>
        <v>62994.114733542316</v>
      </c>
      <c r="K56" s="173">
        <f>1105763/638*0.9*42</f>
        <v>65513.857993730409</v>
      </c>
      <c r="L56" s="173">
        <f>1149994/638*0.9*42</f>
        <v>68134.440752351104</v>
      </c>
      <c r="M56" s="172"/>
      <c r="N56" s="210"/>
      <c r="O56" s="169"/>
      <c r="P56" s="169"/>
    </row>
    <row r="57" spans="1:16" ht="16.5" x14ac:dyDescent="0.25">
      <c r="A57" s="414" t="s">
        <v>173</v>
      </c>
      <c r="B57" s="415"/>
      <c r="C57" s="415"/>
      <c r="D57" s="415"/>
      <c r="E57" s="415"/>
      <c r="F57" s="415"/>
      <c r="G57" s="415"/>
      <c r="H57" s="415"/>
      <c r="I57" s="416"/>
      <c r="J57" s="173">
        <f>3176838/638*0.5*42</f>
        <v>104566.76802507837</v>
      </c>
      <c r="K57" s="173">
        <f>3303912/638*0.5*42</f>
        <v>108749.45454545456</v>
      </c>
      <c r="L57" s="173">
        <f>3436068/638*0.5*42</f>
        <v>113099.41692789969</v>
      </c>
      <c r="M57" s="172"/>
      <c r="N57" s="169"/>
      <c r="O57" s="169"/>
      <c r="P57" s="169"/>
    </row>
    <row r="58" spans="1:16" ht="16.5" x14ac:dyDescent="0.25">
      <c r="A58" s="414" t="s">
        <v>174</v>
      </c>
      <c r="B58" s="415"/>
      <c r="C58" s="415"/>
      <c r="D58" s="415"/>
      <c r="E58" s="415"/>
      <c r="F58" s="415"/>
      <c r="G58" s="415"/>
      <c r="H58" s="415"/>
      <c r="I58" s="416"/>
      <c r="J58" s="173">
        <f>1542777/638*42</f>
        <v>101562.12225705328</v>
      </c>
      <c r="K58" s="173">
        <f>1604458/638*42</f>
        <v>105622.62695924765</v>
      </c>
      <c r="L58" s="173">
        <f>1668667/638*42</f>
        <v>109849.55172413794</v>
      </c>
      <c r="M58" s="172"/>
      <c r="N58" s="169"/>
      <c r="O58" s="169"/>
      <c r="P58" s="169"/>
    </row>
    <row r="59" spans="1:16" ht="16.5" x14ac:dyDescent="0.25">
      <c r="A59" s="414" t="s">
        <v>180</v>
      </c>
      <c r="B59" s="415"/>
      <c r="C59" s="415"/>
      <c r="D59" s="415"/>
      <c r="E59" s="415"/>
      <c r="F59" s="415"/>
      <c r="G59" s="415"/>
      <c r="H59" s="415"/>
      <c r="I59" s="416"/>
      <c r="J59" s="173">
        <v>14903.05</v>
      </c>
      <c r="K59" s="173">
        <v>14903.05</v>
      </c>
      <c r="L59" s="173">
        <v>14903.05</v>
      </c>
      <c r="M59" s="172"/>
      <c r="N59" s="169"/>
      <c r="O59" s="169"/>
      <c r="P59" s="169"/>
    </row>
    <row r="60" spans="1:16" ht="16.5" x14ac:dyDescent="0.25">
      <c r="A60" s="414" t="s">
        <v>181</v>
      </c>
      <c r="B60" s="415"/>
      <c r="C60" s="415"/>
      <c r="D60" s="415"/>
      <c r="E60" s="415"/>
      <c r="F60" s="415"/>
      <c r="G60" s="415"/>
      <c r="H60" s="415"/>
      <c r="I60" s="416"/>
      <c r="J60" s="213"/>
      <c r="K60" s="173"/>
      <c r="L60" s="173"/>
      <c r="M60" s="172"/>
      <c r="N60" s="169"/>
      <c r="O60" s="169"/>
      <c r="P60" s="169"/>
    </row>
    <row r="61" spans="1:16" ht="16.5" x14ac:dyDescent="0.25">
      <c r="A61" s="513" t="s">
        <v>295</v>
      </c>
      <c r="B61" s="514"/>
      <c r="C61" s="514"/>
      <c r="D61" s="514"/>
      <c r="E61" s="514"/>
      <c r="F61" s="514"/>
      <c r="G61" s="514"/>
      <c r="H61" s="514"/>
      <c r="I61" s="515"/>
      <c r="J61" s="173">
        <v>49842.19</v>
      </c>
      <c r="K61" s="173">
        <v>49842.19</v>
      </c>
      <c r="L61" s="173">
        <v>49842.19</v>
      </c>
      <c r="M61" s="172"/>
      <c r="N61" s="169"/>
      <c r="O61" s="169"/>
      <c r="P61" s="169"/>
    </row>
    <row r="62" spans="1:16" ht="66.75" customHeight="1" x14ac:dyDescent="0.25">
      <c r="A62" s="510" t="s">
        <v>300</v>
      </c>
      <c r="B62" s="511"/>
      <c r="C62" s="511"/>
      <c r="D62" s="511"/>
      <c r="E62" s="511"/>
      <c r="F62" s="511"/>
      <c r="G62" s="511"/>
      <c r="H62" s="511"/>
      <c r="I62" s="512"/>
      <c r="J62" s="200">
        <f>238480.9+379696.09+78168.44-J55</f>
        <v>427222.42498432595</v>
      </c>
      <c r="K62" s="200">
        <f>238480.9+379696.09+78168.44-K55</f>
        <v>416459.49050156731</v>
      </c>
      <c r="L62" s="200">
        <f>238480.9+379696.09+78168.44-L55</f>
        <v>405262.02059561119</v>
      </c>
      <c r="M62" s="172"/>
      <c r="N62" s="169"/>
      <c r="O62" s="169"/>
      <c r="P62" s="169"/>
    </row>
    <row r="63" spans="1:16" ht="23.25" customHeight="1" x14ac:dyDescent="0.25">
      <c r="A63" s="452" t="s">
        <v>183</v>
      </c>
      <c r="B63" s="453"/>
      <c r="C63" s="453"/>
      <c r="D63" s="453"/>
      <c r="E63" s="453"/>
      <c r="F63" s="453"/>
      <c r="G63" s="453"/>
      <c r="H63" s="453"/>
      <c r="I63" s="454"/>
      <c r="J63" s="247">
        <f>J49+J53</f>
        <v>2709836.16</v>
      </c>
      <c r="K63" s="247">
        <f t="shared" ref="K63:L63" si="7">K49+K53</f>
        <v>2719342.73</v>
      </c>
      <c r="L63" s="247">
        <f t="shared" si="7"/>
        <v>2711001.21</v>
      </c>
      <c r="M63" s="175"/>
      <c r="N63" s="169"/>
      <c r="O63" s="169"/>
      <c r="P63" s="169"/>
    </row>
    <row r="64" spans="1:16" ht="30" customHeight="1" x14ac:dyDescent="0.25">
      <c r="A64" s="414" t="s">
        <v>355</v>
      </c>
      <c r="B64" s="415"/>
      <c r="C64" s="415"/>
      <c r="D64" s="415"/>
      <c r="E64" s="415"/>
      <c r="F64" s="415"/>
      <c r="G64" s="415"/>
      <c r="H64" s="415"/>
      <c r="I64" s="416"/>
      <c r="J64" s="200">
        <f>J63/H65</f>
        <v>64519.908571428576</v>
      </c>
      <c r="K64" s="200">
        <f>K63/H65</f>
        <v>64746.255476190476</v>
      </c>
      <c r="L64" s="200">
        <f>L63/H65</f>
        <v>64547.64785714286</v>
      </c>
      <c r="M64" s="167"/>
      <c r="N64" s="169"/>
      <c r="O64" s="169"/>
      <c r="P64" s="169"/>
    </row>
    <row r="65" spans="1:16" ht="16.5" x14ac:dyDescent="0.25">
      <c r="A65" s="232"/>
      <c r="B65" s="232"/>
      <c r="C65" s="232"/>
      <c r="D65" s="232"/>
      <c r="E65" s="232"/>
      <c r="F65" s="232"/>
      <c r="G65" s="232"/>
      <c r="H65" s="232">
        <v>42</v>
      </c>
      <c r="I65" s="232"/>
      <c r="J65" s="232"/>
      <c r="K65" s="232"/>
      <c r="L65" s="232"/>
      <c r="M65" s="232"/>
      <c r="N65" s="169"/>
      <c r="O65" s="169"/>
      <c r="P65" s="169"/>
    </row>
    <row r="66" spans="1:16" ht="16.5" x14ac:dyDescent="0.25">
      <c r="A66" s="232"/>
      <c r="B66" s="232"/>
      <c r="C66" s="232"/>
      <c r="D66" s="232"/>
      <c r="E66" s="232"/>
      <c r="F66" s="232"/>
      <c r="G66" s="232"/>
      <c r="H66" s="232"/>
      <c r="I66" s="232"/>
      <c r="J66" s="232"/>
      <c r="K66" s="232"/>
      <c r="L66" s="232"/>
      <c r="M66" s="232"/>
      <c r="N66" s="169"/>
      <c r="O66" s="169"/>
      <c r="P66" s="169"/>
    </row>
    <row r="67" spans="1:16" ht="16.5" x14ac:dyDescent="0.25">
      <c r="A67" s="169"/>
      <c r="B67" s="169"/>
      <c r="C67" s="169"/>
      <c r="D67" s="169"/>
      <c r="E67" s="169"/>
      <c r="F67" s="169"/>
      <c r="G67" s="169"/>
      <c r="H67" s="169"/>
      <c r="I67" s="169"/>
      <c r="J67" s="211"/>
      <c r="K67" s="169" t="s">
        <v>375</v>
      </c>
      <c r="L67" s="169"/>
      <c r="M67" s="169"/>
      <c r="N67" s="169"/>
      <c r="O67" s="169"/>
      <c r="P67" s="169"/>
    </row>
    <row r="68" spans="1:16" ht="16.5" x14ac:dyDescent="0.25">
      <c r="A68" s="455" t="s">
        <v>358</v>
      </c>
      <c r="B68" s="456"/>
      <c r="C68" s="456"/>
      <c r="D68" s="456"/>
      <c r="E68" s="456"/>
      <c r="F68" s="456"/>
      <c r="G68" s="456"/>
      <c r="H68" s="456"/>
      <c r="I68" s="456"/>
      <c r="J68" s="456"/>
      <c r="K68" s="456"/>
      <c r="L68" s="456"/>
      <c r="M68" s="456"/>
      <c r="N68" s="169"/>
      <c r="O68" s="169"/>
      <c r="P68" s="169"/>
    </row>
    <row r="69" spans="1:16" ht="31.5" customHeight="1" x14ac:dyDescent="0.25">
      <c r="A69" s="469" t="s">
        <v>390</v>
      </c>
      <c r="B69" s="470"/>
      <c r="C69" s="470"/>
      <c r="D69" s="470"/>
      <c r="E69" s="470"/>
      <c r="F69" s="470"/>
      <c r="G69" s="470"/>
      <c r="H69" s="470"/>
      <c r="I69" s="471"/>
      <c r="J69" s="164" t="s">
        <v>391</v>
      </c>
      <c r="K69" s="246">
        <v>2024</v>
      </c>
      <c r="L69" s="246">
        <v>2025</v>
      </c>
      <c r="M69" s="164"/>
      <c r="N69" s="169"/>
      <c r="O69" s="169"/>
      <c r="P69" s="169"/>
    </row>
    <row r="70" spans="1:16" ht="35.25" customHeight="1" x14ac:dyDescent="0.25">
      <c r="A70" s="455" t="s">
        <v>170</v>
      </c>
      <c r="B70" s="456"/>
      <c r="C70" s="456"/>
      <c r="D70" s="456"/>
      <c r="E70" s="456"/>
      <c r="F70" s="456"/>
      <c r="G70" s="456"/>
      <c r="H70" s="456"/>
      <c r="I70" s="457"/>
      <c r="J70" s="175">
        <f>SUM(J71:J73)</f>
        <v>0</v>
      </c>
      <c r="K70" s="175">
        <f t="shared" ref="K70:L70" si="8">SUM(K71:K73)</f>
        <v>0</v>
      </c>
      <c r="L70" s="175">
        <f t="shared" si="8"/>
        <v>0</v>
      </c>
      <c r="M70" s="204"/>
      <c r="N70" s="169"/>
      <c r="O70" s="169"/>
      <c r="P70" s="169"/>
    </row>
    <row r="71" spans="1:16" ht="30" customHeight="1" x14ac:dyDescent="0.25">
      <c r="A71" s="510" t="s">
        <v>178</v>
      </c>
      <c r="B71" s="511"/>
      <c r="C71" s="511"/>
      <c r="D71" s="511"/>
      <c r="E71" s="511"/>
      <c r="F71" s="511"/>
      <c r="G71" s="511"/>
      <c r="H71" s="511"/>
      <c r="I71" s="512"/>
      <c r="J71" s="168"/>
      <c r="K71" s="168"/>
      <c r="L71" s="168"/>
      <c r="M71" s="172"/>
      <c r="N71" s="169"/>
      <c r="O71" s="169"/>
      <c r="P71" s="169"/>
    </row>
    <row r="72" spans="1:16" ht="52.5" customHeight="1" x14ac:dyDescent="0.25">
      <c r="A72" s="510" t="s">
        <v>297</v>
      </c>
      <c r="B72" s="511"/>
      <c r="C72" s="511"/>
      <c r="D72" s="511"/>
      <c r="E72" s="511"/>
      <c r="F72" s="511"/>
      <c r="G72" s="511"/>
      <c r="H72" s="511"/>
      <c r="I72" s="512"/>
      <c r="J72" s="168"/>
      <c r="K72" s="168"/>
      <c r="L72" s="168"/>
      <c r="M72" s="172"/>
      <c r="N72" s="210"/>
      <c r="O72" s="169"/>
      <c r="P72" s="169"/>
    </row>
    <row r="73" spans="1:16" ht="16.5" x14ac:dyDescent="0.25">
      <c r="A73" s="414" t="s">
        <v>175</v>
      </c>
      <c r="B73" s="415"/>
      <c r="C73" s="415"/>
      <c r="D73" s="415"/>
      <c r="E73" s="415"/>
      <c r="F73" s="415"/>
      <c r="G73" s="415"/>
      <c r="H73" s="415"/>
      <c r="I73" s="416"/>
      <c r="J73" s="168"/>
      <c r="K73" s="168"/>
      <c r="L73" s="168"/>
      <c r="M73" s="172"/>
      <c r="N73" s="169"/>
      <c r="O73" s="169"/>
      <c r="P73" s="169"/>
    </row>
    <row r="74" spans="1:16" ht="48.75" customHeight="1" x14ac:dyDescent="0.25">
      <c r="A74" s="519" t="s">
        <v>177</v>
      </c>
      <c r="B74" s="520"/>
      <c r="C74" s="520"/>
      <c r="D74" s="520"/>
      <c r="E74" s="520"/>
      <c r="F74" s="520"/>
      <c r="G74" s="520"/>
      <c r="H74" s="520"/>
      <c r="I74" s="521"/>
      <c r="J74" s="175">
        <f>J75+J76+J80+J82+J83</f>
        <v>0</v>
      </c>
      <c r="K74" s="175">
        <f t="shared" ref="K74:L74" si="9">K75+K76+K80+K82+K83</f>
        <v>0</v>
      </c>
      <c r="L74" s="175">
        <f t="shared" si="9"/>
        <v>0</v>
      </c>
      <c r="M74" s="204"/>
      <c r="N74" s="169"/>
      <c r="O74" s="169"/>
      <c r="P74" s="169"/>
    </row>
    <row r="75" spans="1:16" ht="16.5" customHeight="1" x14ac:dyDescent="0.25">
      <c r="A75" s="510" t="s">
        <v>179</v>
      </c>
      <c r="B75" s="511"/>
      <c r="C75" s="511"/>
      <c r="D75" s="511"/>
      <c r="E75" s="511"/>
      <c r="F75" s="511"/>
      <c r="G75" s="511"/>
      <c r="H75" s="511"/>
      <c r="I75" s="512"/>
      <c r="J75" s="168"/>
      <c r="K75" s="168"/>
      <c r="L75" s="168"/>
      <c r="M75" s="172"/>
      <c r="N75" s="169"/>
      <c r="O75" s="169"/>
      <c r="P75" s="169"/>
    </row>
    <row r="76" spans="1:16" ht="16.5" x14ac:dyDescent="0.25">
      <c r="A76" s="414" t="s">
        <v>171</v>
      </c>
      <c r="B76" s="415"/>
      <c r="C76" s="415"/>
      <c r="D76" s="415"/>
      <c r="E76" s="415"/>
      <c r="F76" s="415"/>
      <c r="G76" s="415"/>
      <c r="H76" s="415"/>
      <c r="I76" s="416"/>
      <c r="J76" s="168"/>
      <c r="K76" s="168"/>
      <c r="L76" s="168"/>
      <c r="M76" s="172"/>
      <c r="N76" s="169"/>
      <c r="O76" s="169"/>
      <c r="P76" s="169"/>
    </row>
    <row r="77" spans="1:16" ht="16.5" x14ac:dyDescent="0.25">
      <c r="A77" s="414" t="s">
        <v>172</v>
      </c>
      <c r="B77" s="415"/>
      <c r="C77" s="415"/>
      <c r="D77" s="415"/>
      <c r="E77" s="415"/>
      <c r="F77" s="415"/>
      <c r="G77" s="415"/>
      <c r="H77" s="415"/>
      <c r="I77" s="416"/>
      <c r="J77" s="168"/>
      <c r="K77" s="168"/>
      <c r="L77" s="168"/>
      <c r="M77" s="172"/>
      <c r="N77" s="210"/>
      <c r="O77" s="169"/>
      <c r="P77" s="169"/>
    </row>
    <row r="78" spans="1:16" ht="16.5" x14ac:dyDescent="0.25">
      <c r="A78" s="414" t="s">
        <v>173</v>
      </c>
      <c r="B78" s="415"/>
      <c r="C78" s="415"/>
      <c r="D78" s="415"/>
      <c r="E78" s="415"/>
      <c r="F78" s="415"/>
      <c r="G78" s="415"/>
      <c r="H78" s="415"/>
      <c r="I78" s="416"/>
      <c r="J78" s="168"/>
      <c r="K78" s="168"/>
      <c r="L78" s="168"/>
      <c r="M78" s="172"/>
      <c r="N78" s="169"/>
      <c r="O78" s="169"/>
      <c r="P78" s="169"/>
    </row>
    <row r="79" spans="1:16" ht="16.5" x14ac:dyDescent="0.25">
      <c r="A79" s="414" t="s">
        <v>174</v>
      </c>
      <c r="B79" s="415"/>
      <c r="C79" s="415"/>
      <c r="D79" s="415"/>
      <c r="E79" s="415"/>
      <c r="F79" s="415"/>
      <c r="G79" s="415"/>
      <c r="H79" s="415"/>
      <c r="I79" s="416"/>
      <c r="J79" s="168"/>
      <c r="K79" s="168"/>
      <c r="L79" s="168"/>
      <c r="M79" s="172"/>
      <c r="N79" s="169"/>
      <c r="O79" s="169"/>
      <c r="P79" s="169"/>
    </row>
    <row r="80" spans="1:16" ht="16.5" x14ac:dyDescent="0.25">
      <c r="A80" s="414" t="s">
        <v>180</v>
      </c>
      <c r="B80" s="415"/>
      <c r="C80" s="415"/>
      <c r="D80" s="415"/>
      <c r="E80" s="415"/>
      <c r="F80" s="415"/>
      <c r="G80" s="415"/>
      <c r="H80" s="415"/>
      <c r="I80" s="416"/>
      <c r="J80" s="168"/>
      <c r="K80" s="168"/>
      <c r="L80" s="168"/>
      <c r="M80" s="172"/>
      <c r="N80" s="169"/>
      <c r="O80" s="169"/>
      <c r="P80" s="169"/>
    </row>
    <row r="81" spans="1:16" ht="16.5" x14ac:dyDescent="0.25">
      <c r="A81" s="414" t="s">
        <v>181</v>
      </c>
      <c r="B81" s="415"/>
      <c r="C81" s="415"/>
      <c r="D81" s="415"/>
      <c r="E81" s="415"/>
      <c r="F81" s="415"/>
      <c r="G81" s="415"/>
      <c r="H81" s="415"/>
      <c r="I81" s="416"/>
      <c r="J81" s="176"/>
      <c r="K81" s="168"/>
      <c r="L81" s="168"/>
      <c r="M81" s="172"/>
      <c r="N81" s="169"/>
      <c r="O81" s="169"/>
      <c r="P81" s="169"/>
    </row>
    <row r="82" spans="1:16" ht="52.5" customHeight="1" x14ac:dyDescent="0.25">
      <c r="A82" s="513" t="s">
        <v>295</v>
      </c>
      <c r="B82" s="514"/>
      <c r="C82" s="514"/>
      <c r="D82" s="514"/>
      <c r="E82" s="514"/>
      <c r="F82" s="514"/>
      <c r="G82" s="514"/>
      <c r="H82" s="514"/>
      <c r="I82" s="515"/>
      <c r="J82" s="168"/>
      <c r="K82" s="168"/>
      <c r="L82" s="168"/>
      <c r="M82" s="172"/>
      <c r="N82" s="169"/>
      <c r="O82" s="169"/>
      <c r="P82" s="169"/>
    </row>
    <row r="83" spans="1:16" ht="93.75" customHeight="1" x14ac:dyDescent="0.25">
      <c r="A83" s="510" t="s">
        <v>300</v>
      </c>
      <c r="B83" s="511"/>
      <c r="C83" s="511"/>
      <c r="D83" s="511"/>
      <c r="E83" s="511"/>
      <c r="F83" s="511"/>
      <c r="G83" s="511"/>
      <c r="H83" s="511"/>
      <c r="I83" s="512"/>
      <c r="J83" s="167"/>
      <c r="K83" s="167"/>
      <c r="L83" s="167"/>
      <c r="M83" s="172"/>
      <c r="N83" s="169"/>
      <c r="O83" s="169"/>
      <c r="P83" s="169"/>
    </row>
    <row r="84" spans="1:16" ht="45.75" customHeight="1" x14ac:dyDescent="0.25">
      <c r="A84" s="452" t="s">
        <v>183</v>
      </c>
      <c r="B84" s="453"/>
      <c r="C84" s="453"/>
      <c r="D84" s="453"/>
      <c r="E84" s="453"/>
      <c r="F84" s="453"/>
      <c r="G84" s="453"/>
      <c r="H84" s="453"/>
      <c r="I84" s="454"/>
      <c r="J84" s="175">
        <f>J70+J74</f>
        <v>0</v>
      </c>
      <c r="K84" s="175">
        <f t="shared" ref="K84:L84" si="10">K70+K74</f>
        <v>0</v>
      </c>
      <c r="L84" s="175">
        <f t="shared" si="10"/>
        <v>0</v>
      </c>
      <c r="M84" s="175"/>
      <c r="N84" s="169"/>
      <c r="O84" s="169"/>
      <c r="P84" s="169"/>
    </row>
    <row r="85" spans="1:16" ht="16.5" customHeight="1" x14ac:dyDescent="0.25">
      <c r="A85" s="414" t="s">
        <v>355</v>
      </c>
      <c r="B85" s="415"/>
      <c r="C85" s="415"/>
      <c r="D85" s="415"/>
      <c r="E85" s="415"/>
      <c r="F85" s="415"/>
      <c r="G85" s="415"/>
      <c r="H85" s="415"/>
      <c r="I85" s="416"/>
      <c r="J85" s="167">
        <f>J84/H86</f>
        <v>0</v>
      </c>
      <c r="K85" s="167">
        <f>K84/H86</f>
        <v>0</v>
      </c>
      <c r="L85" s="167">
        <f>L84/H86</f>
        <v>0</v>
      </c>
      <c r="M85" s="167"/>
      <c r="N85" s="169"/>
      <c r="O85" s="169"/>
      <c r="P85" s="169"/>
    </row>
    <row r="86" spans="1:16" ht="16.5" x14ac:dyDescent="0.25">
      <c r="A86" s="232"/>
      <c r="B86" s="232"/>
      <c r="C86" s="232"/>
      <c r="D86" s="232"/>
      <c r="E86" s="232"/>
      <c r="F86" s="232"/>
      <c r="G86" s="232"/>
      <c r="H86" s="232">
        <v>20</v>
      </c>
      <c r="I86" s="232"/>
      <c r="J86" s="232"/>
      <c r="K86" s="232"/>
      <c r="L86" s="232"/>
      <c r="M86" s="232"/>
      <c r="N86" s="210"/>
      <c r="O86" s="169"/>
      <c r="P86" s="169"/>
    </row>
    <row r="87" spans="1:16" ht="16.5" x14ac:dyDescent="0.25">
      <c r="A87" s="232"/>
      <c r="B87" s="232"/>
      <c r="C87" s="232"/>
      <c r="D87" s="232"/>
      <c r="E87" s="232"/>
      <c r="F87" s="232"/>
      <c r="G87" s="232"/>
      <c r="H87" s="232"/>
      <c r="I87" s="232"/>
      <c r="J87" s="232"/>
      <c r="K87" s="232"/>
      <c r="L87" s="232"/>
      <c r="M87" s="232"/>
      <c r="N87" s="169"/>
      <c r="O87" s="169"/>
      <c r="P87" s="169"/>
    </row>
    <row r="88" spans="1:16" ht="16.5" x14ac:dyDescent="0.25">
      <c r="A88" s="232"/>
      <c r="B88" s="232"/>
      <c r="C88" s="232"/>
      <c r="D88" s="232"/>
      <c r="E88" s="232"/>
      <c r="F88" s="232"/>
      <c r="G88" s="232"/>
      <c r="H88" s="232"/>
      <c r="I88" s="232"/>
      <c r="J88" s="232"/>
      <c r="K88" s="232"/>
      <c r="L88" s="232"/>
      <c r="M88" s="232"/>
      <c r="N88" s="169"/>
      <c r="O88" s="169"/>
      <c r="P88" s="169"/>
    </row>
    <row r="89" spans="1:16" ht="16.5" x14ac:dyDescent="0.25">
      <c r="A89" s="169"/>
      <c r="B89" s="169"/>
      <c r="C89" s="169"/>
      <c r="D89" s="169"/>
      <c r="E89" s="169"/>
      <c r="F89" s="169"/>
      <c r="G89" s="169"/>
      <c r="H89" s="169"/>
      <c r="I89" s="169"/>
      <c r="J89" s="211"/>
      <c r="K89" s="169" t="s">
        <v>376</v>
      </c>
      <c r="L89" s="169"/>
      <c r="M89" s="169"/>
      <c r="N89" s="169"/>
      <c r="O89" s="169"/>
      <c r="P89" s="169"/>
    </row>
    <row r="90" spans="1:16" ht="16.5" x14ac:dyDescent="0.25">
      <c r="A90" s="455" t="s">
        <v>359</v>
      </c>
      <c r="B90" s="456"/>
      <c r="C90" s="456"/>
      <c r="D90" s="456"/>
      <c r="E90" s="456"/>
      <c r="F90" s="456"/>
      <c r="G90" s="456"/>
      <c r="H90" s="456"/>
      <c r="I90" s="456"/>
      <c r="J90" s="456"/>
      <c r="K90" s="456"/>
      <c r="L90" s="456"/>
      <c r="M90" s="456"/>
      <c r="N90" s="169"/>
      <c r="O90" s="169"/>
      <c r="P90" s="169"/>
    </row>
    <row r="91" spans="1:16" ht="36.75" customHeight="1" x14ac:dyDescent="0.25">
      <c r="A91" s="469" t="s">
        <v>390</v>
      </c>
      <c r="B91" s="470"/>
      <c r="C91" s="470"/>
      <c r="D91" s="470"/>
      <c r="E91" s="470"/>
      <c r="F91" s="470"/>
      <c r="G91" s="470"/>
      <c r="H91" s="470"/>
      <c r="I91" s="471"/>
      <c r="J91" s="164" t="s">
        <v>392</v>
      </c>
      <c r="K91" s="246">
        <v>2024</v>
      </c>
      <c r="L91" s="246">
        <v>2025</v>
      </c>
      <c r="M91" s="164"/>
      <c r="N91" s="169"/>
      <c r="O91" s="169"/>
      <c r="P91" s="169"/>
    </row>
    <row r="92" spans="1:16" ht="30" customHeight="1" x14ac:dyDescent="0.25">
      <c r="A92" s="455" t="s">
        <v>170</v>
      </c>
      <c r="B92" s="456"/>
      <c r="C92" s="456"/>
      <c r="D92" s="456"/>
      <c r="E92" s="456"/>
      <c r="F92" s="456"/>
      <c r="G92" s="456"/>
      <c r="H92" s="456"/>
      <c r="I92" s="457"/>
      <c r="J92" s="205">
        <f>SUM(J93:J95)</f>
        <v>700148.75559999992</v>
      </c>
      <c r="K92" s="205">
        <f t="shared" ref="K92:L92" si="11">SUM(K93:K95)</f>
        <v>702864.92559999984</v>
      </c>
      <c r="L92" s="205">
        <f t="shared" si="11"/>
        <v>700481.62559999991</v>
      </c>
      <c r="M92" s="204"/>
      <c r="N92" s="169"/>
      <c r="O92" s="169"/>
      <c r="P92" s="169"/>
    </row>
    <row r="93" spans="1:16" ht="16.5" customHeight="1" x14ac:dyDescent="0.25">
      <c r="A93" s="510" t="s">
        <v>178</v>
      </c>
      <c r="B93" s="511"/>
      <c r="C93" s="511"/>
      <c r="D93" s="511"/>
      <c r="E93" s="511"/>
      <c r="F93" s="511"/>
      <c r="G93" s="511"/>
      <c r="H93" s="511"/>
      <c r="I93" s="512"/>
      <c r="J93" s="173">
        <f>929213.24*69%</f>
        <v>641157.13559999992</v>
      </c>
      <c r="K93" s="173">
        <f>929213.24*69%</f>
        <v>641157.13559999992</v>
      </c>
      <c r="L93" s="173">
        <f>929213.24*69%</f>
        <v>641157.13559999992</v>
      </c>
      <c r="M93" s="172"/>
      <c r="N93" s="169"/>
      <c r="O93" s="169"/>
      <c r="P93" s="169"/>
    </row>
    <row r="94" spans="1:16" ht="16.5" customHeight="1" x14ac:dyDescent="0.25">
      <c r="A94" s="510" t="s">
        <v>297</v>
      </c>
      <c r="B94" s="511"/>
      <c r="C94" s="511"/>
      <c r="D94" s="511"/>
      <c r="E94" s="511"/>
      <c r="F94" s="511"/>
      <c r="G94" s="511"/>
      <c r="H94" s="511"/>
      <c r="I94" s="512"/>
      <c r="J94" s="173">
        <f>14304.89+20356.29</f>
        <v>34661.18</v>
      </c>
      <c r="K94" s="173">
        <f>15721.24+21656.11</f>
        <v>37377.35</v>
      </c>
      <c r="L94" s="173">
        <f>15721.24+19272.81</f>
        <v>34994.050000000003</v>
      </c>
      <c r="M94" s="172"/>
      <c r="N94" s="169"/>
      <c r="O94" s="169"/>
      <c r="P94" s="169"/>
    </row>
    <row r="95" spans="1:16" ht="46.5" customHeight="1" x14ac:dyDescent="0.25">
      <c r="A95" s="414" t="s">
        <v>175</v>
      </c>
      <c r="B95" s="415"/>
      <c r="C95" s="415"/>
      <c r="D95" s="415"/>
      <c r="E95" s="415"/>
      <c r="F95" s="415"/>
      <c r="G95" s="415"/>
      <c r="H95" s="415"/>
      <c r="I95" s="416"/>
      <c r="J95" s="173">
        <v>24330.44</v>
      </c>
      <c r="K95" s="173">
        <v>24330.44</v>
      </c>
      <c r="L95" s="173">
        <v>24330.44</v>
      </c>
      <c r="M95" s="172"/>
      <c r="N95" s="210"/>
      <c r="O95" s="169"/>
      <c r="P95" s="169"/>
    </row>
    <row r="96" spans="1:16" ht="16.5" x14ac:dyDescent="0.25">
      <c r="A96" s="519" t="s">
        <v>177</v>
      </c>
      <c r="B96" s="520"/>
      <c r="C96" s="520"/>
      <c r="D96" s="520"/>
      <c r="E96" s="520"/>
      <c r="F96" s="520"/>
      <c r="G96" s="520"/>
      <c r="H96" s="520"/>
      <c r="I96" s="521"/>
      <c r="J96" s="205">
        <f>J97+J98+J102+J104+J105</f>
        <v>505510.58440000005</v>
      </c>
      <c r="K96" s="205">
        <f t="shared" ref="K96:L96" si="12">K97+K98+K102+K104+K105</f>
        <v>505510.57440000004</v>
      </c>
      <c r="L96" s="205">
        <f t="shared" si="12"/>
        <v>505510.58440000005</v>
      </c>
      <c r="M96" s="204"/>
      <c r="N96" s="169"/>
      <c r="O96" s="169"/>
      <c r="P96" s="169"/>
    </row>
    <row r="97" spans="1:16" ht="16.5" customHeight="1" x14ac:dyDescent="0.25">
      <c r="A97" s="510" t="s">
        <v>179</v>
      </c>
      <c r="B97" s="511"/>
      <c r="C97" s="511"/>
      <c r="D97" s="511"/>
      <c r="E97" s="511"/>
      <c r="F97" s="511"/>
      <c r="G97" s="511"/>
      <c r="H97" s="511"/>
      <c r="I97" s="512"/>
      <c r="J97" s="173">
        <f>929213.24-J93</f>
        <v>288056.10440000007</v>
      </c>
      <c r="K97" s="173">
        <f>929213.24-K93</f>
        <v>288056.10440000007</v>
      </c>
      <c r="L97" s="173">
        <f>929213.24-L93</f>
        <v>288056.10440000007</v>
      </c>
      <c r="M97" s="172"/>
      <c r="N97" s="169"/>
      <c r="O97" s="169"/>
      <c r="P97" s="169"/>
    </row>
    <row r="98" spans="1:16" ht="16.5" x14ac:dyDescent="0.25">
      <c r="A98" s="414" t="s">
        <v>171</v>
      </c>
      <c r="B98" s="415"/>
      <c r="C98" s="415"/>
      <c r="D98" s="415"/>
      <c r="E98" s="415"/>
      <c r="F98" s="415"/>
      <c r="G98" s="415"/>
      <c r="H98" s="415"/>
      <c r="I98" s="416"/>
      <c r="J98" s="173">
        <f>SUM(J99:J101)</f>
        <v>76892.287147335417</v>
      </c>
      <c r="K98" s="173">
        <f t="shared" ref="K98:L98" si="13">SUM(K99:K101)</f>
        <v>81175.104075235111</v>
      </c>
      <c r="L98" s="173">
        <f t="shared" si="13"/>
        <v>83166.688401253923</v>
      </c>
      <c r="M98" s="172"/>
      <c r="N98" s="210"/>
      <c r="O98" s="169"/>
      <c r="P98" s="169"/>
    </row>
    <row r="99" spans="1:16" ht="16.5" x14ac:dyDescent="0.25">
      <c r="A99" s="414" t="s">
        <v>172</v>
      </c>
      <c r="B99" s="415"/>
      <c r="C99" s="415"/>
      <c r="D99" s="415"/>
      <c r="E99" s="415"/>
      <c r="F99" s="415"/>
      <c r="G99" s="415"/>
      <c r="H99" s="415"/>
      <c r="I99" s="416"/>
      <c r="J99" s="173">
        <f>1063234/638*0.9*12</f>
        <v>17998.318495297804</v>
      </c>
      <c r="K99" s="173">
        <f>1105763/638*0.9*12</f>
        <v>18718.245141065832</v>
      </c>
      <c r="L99" s="173">
        <f>1149994/638*0.9*12</f>
        <v>19466.983072100316</v>
      </c>
      <c r="M99" s="172"/>
      <c r="N99" s="169"/>
      <c r="O99" s="169"/>
      <c r="P99" s="169"/>
    </row>
    <row r="100" spans="1:16" ht="16.5" x14ac:dyDescent="0.25">
      <c r="A100" s="414" t="s">
        <v>173</v>
      </c>
      <c r="B100" s="415"/>
      <c r="C100" s="415"/>
      <c r="D100" s="415"/>
      <c r="E100" s="415"/>
      <c r="F100" s="415"/>
      <c r="G100" s="415"/>
      <c r="H100" s="415"/>
      <c r="I100" s="416"/>
      <c r="J100" s="173">
        <f>3176838/638*0.5*12</f>
        <v>29876.219435736679</v>
      </c>
      <c r="K100" s="173">
        <f>3303912/638*0.5*12</f>
        <v>31071.272727272728</v>
      </c>
      <c r="L100" s="173">
        <f>3436068/638*0.5*12</f>
        <v>32314.119122257052</v>
      </c>
      <c r="M100" s="172"/>
      <c r="N100" s="169"/>
      <c r="O100" s="169"/>
      <c r="P100" s="169"/>
    </row>
    <row r="101" spans="1:16" ht="16.5" x14ac:dyDescent="0.25">
      <c r="A101" s="414" t="s">
        <v>174</v>
      </c>
      <c r="B101" s="415"/>
      <c r="C101" s="415"/>
      <c r="D101" s="415"/>
      <c r="E101" s="415"/>
      <c r="F101" s="415"/>
      <c r="G101" s="415"/>
      <c r="H101" s="415"/>
      <c r="I101" s="416"/>
      <c r="J101" s="173">
        <f>1542777/638*12</f>
        <v>29017.749216300937</v>
      </c>
      <c r="K101" s="173">
        <f>1668667/638*12</f>
        <v>31385.586206896554</v>
      </c>
      <c r="L101" s="173">
        <f>1668667/638*12</f>
        <v>31385.586206896554</v>
      </c>
      <c r="M101" s="172"/>
      <c r="N101" s="169"/>
      <c r="O101" s="169"/>
      <c r="P101" s="169"/>
    </row>
    <row r="102" spans="1:16" ht="16.5" x14ac:dyDescent="0.25">
      <c r="A102" s="414" t="s">
        <v>180</v>
      </c>
      <c r="B102" s="415"/>
      <c r="C102" s="415"/>
      <c r="D102" s="415"/>
      <c r="E102" s="415"/>
      <c r="F102" s="415"/>
      <c r="G102" s="415"/>
      <c r="H102" s="415"/>
      <c r="I102" s="416"/>
      <c r="J102" s="173">
        <v>4258.01</v>
      </c>
      <c r="K102" s="173">
        <v>4258.01</v>
      </c>
      <c r="L102" s="173">
        <v>4258.01</v>
      </c>
      <c r="M102" s="172"/>
      <c r="N102" s="169"/>
      <c r="O102" s="169"/>
      <c r="P102" s="169"/>
    </row>
    <row r="103" spans="1:16" ht="16.5" x14ac:dyDescent="0.25">
      <c r="A103" s="414" t="s">
        <v>181</v>
      </c>
      <c r="B103" s="415"/>
      <c r="C103" s="415"/>
      <c r="D103" s="415"/>
      <c r="E103" s="415"/>
      <c r="F103" s="415"/>
      <c r="G103" s="415"/>
      <c r="H103" s="415"/>
      <c r="I103" s="416"/>
      <c r="J103" s="213"/>
      <c r="K103" s="173"/>
      <c r="L103" s="173"/>
      <c r="M103" s="172"/>
      <c r="N103" s="169"/>
      <c r="O103" s="169"/>
      <c r="P103" s="169"/>
    </row>
    <row r="104" spans="1:16" ht="16.5" customHeight="1" x14ac:dyDescent="0.25">
      <c r="A104" s="513" t="s">
        <v>295</v>
      </c>
      <c r="B104" s="514"/>
      <c r="C104" s="514"/>
      <c r="D104" s="514"/>
      <c r="E104" s="514"/>
      <c r="F104" s="514"/>
      <c r="G104" s="514"/>
      <c r="H104" s="514"/>
      <c r="I104" s="515"/>
      <c r="J104" s="173">
        <v>14240.63</v>
      </c>
      <c r="K104" s="173">
        <v>14240.63</v>
      </c>
      <c r="L104" s="173">
        <v>14240.63</v>
      </c>
      <c r="M104" s="172"/>
      <c r="N104" s="169"/>
      <c r="O104" s="169"/>
      <c r="P104" s="169"/>
    </row>
    <row r="105" spans="1:16" ht="48" customHeight="1" x14ac:dyDescent="0.25">
      <c r="A105" s="510" t="s">
        <v>300</v>
      </c>
      <c r="B105" s="511"/>
      <c r="C105" s="511"/>
      <c r="D105" s="511"/>
      <c r="E105" s="511"/>
      <c r="F105" s="511"/>
      <c r="G105" s="511"/>
      <c r="H105" s="511"/>
      <c r="I105" s="512"/>
      <c r="J105" s="200">
        <f>68137.4+108484.6+22333.84-J98</f>
        <v>122063.55285266458</v>
      </c>
      <c r="K105" s="200">
        <f>68137.4+108484.6+22333.83-K98</f>
        <v>117780.72592476491</v>
      </c>
      <c r="L105" s="200">
        <f>68137.4+108484.6+22333.84-L98</f>
        <v>115789.15159874607</v>
      </c>
      <c r="M105" s="172"/>
      <c r="N105" s="169"/>
      <c r="O105" s="169"/>
      <c r="P105" s="169"/>
    </row>
    <row r="106" spans="1:16" ht="105" customHeight="1" x14ac:dyDescent="0.25">
      <c r="A106" s="452" t="s">
        <v>183</v>
      </c>
      <c r="B106" s="453"/>
      <c r="C106" s="453"/>
      <c r="D106" s="453"/>
      <c r="E106" s="453"/>
      <c r="F106" s="453"/>
      <c r="G106" s="453"/>
      <c r="H106" s="453"/>
      <c r="I106" s="454"/>
      <c r="J106" s="247">
        <f>J92+J96</f>
        <v>1205659.3399999999</v>
      </c>
      <c r="K106" s="247">
        <f t="shared" ref="K106:L106" si="14">K92+K96</f>
        <v>1208375.5</v>
      </c>
      <c r="L106" s="247">
        <f t="shared" si="14"/>
        <v>1205992.21</v>
      </c>
      <c r="M106" s="175"/>
      <c r="N106" s="169"/>
      <c r="O106" s="169"/>
      <c r="P106" s="169"/>
    </row>
    <row r="107" spans="1:16" ht="16.5" x14ac:dyDescent="0.25">
      <c r="A107" s="414" t="s">
        <v>355</v>
      </c>
      <c r="B107" s="415"/>
      <c r="C107" s="415"/>
      <c r="D107" s="415"/>
      <c r="E107" s="415"/>
      <c r="F107" s="415"/>
      <c r="G107" s="415"/>
      <c r="H107" s="415"/>
      <c r="I107" s="416"/>
      <c r="J107" s="200">
        <f>J106/H108</f>
        <v>100471.61166666665</v>
      </c>
      <c r="K107" s="200">
        <f>K106/H108</f>
        <v>100697.95833333333</v>
      </c>
      <c r="L107" s="200">
        <f>L106/H108</f>
        <v>100499.35083333333</v>
      </c>
      <c r="M107" s="167"/>
      <c r="N107" s="169"/>
      <c r="O107" s="169"/>
      <c r="P107" s="169"/>
    </row>
    <row r="108" spans="1:16" ht="16.5" x14ac:dyDescent="0.25">
      <c r="A108" s="232"/>
      <c r="B108" s="232"/>
      <c r="C108" s="232"/>
      <c r="D108" s="232"/>
      <c r="E108" s="232"/>
      <c r="F108" s="232"/>
      <c r="G108" s="232"/>
      <c r="H108" s="232">
        <v>12</v>
      </c>
      <c r="I108" s="232"/>
      <c r="J108" s="232"/>
      <c r="K108" s="232"/>
      <c r="L108" s="232"/>
      <c r="M108" s="232"/>
      <c r="N108" s="169"/>
      <c r="O108" s="169"/>
      <c r="P108" s="169"/>
    </row>
    <row r="109" spans="1:16" ht="16.5" x14ac:dyDescent="0.25">
      <c r="A109" s="232"/>
      <c r="B109" s="232"/>
      <c r="C109" s="232"/>
      <c r="D109" s="232"/>
      <c r="E109" s="232"/>
      <c r="F109" s="232"/>
      <c r="G109" s="232"/>
      <c r="H109" s="232"/>
      <c r="I109" s="232"/>
      <c r="J109" s="232"/>
      <c r="K109" s="232"/>
      <c r="L109" s="232"/>
      <c r="M109" s="232"/>
      <c r="N109" s="169"/>
      <c r="O109" s="169"/>
      <c r="P109" s="169"/>
    </row>
    <row r="110" spans="1:16" ht="16.5" x14ac:dyDescent="0.25">
      <c r="A110" s="169"/>
      <c r="B110" s="169"/>
      <c r="C110" s="169"/>
      <c r="D110" s="169"/>
      <c r="E110" s="169"/>
      <c r="F110" s="169"/>
      <c r="G110" s="169"/>
      <c r="H110" s="169"/>
      <c r="I110" s="169"/>
      <c r="J110" s="211"/>
      <c r="K110" s="169" t="s">
        <v>377</v>
      </c>
      <c r="L110" s="169"/>
      <c r="M110" s="169"/>
      <c r="N110" s="169"/>
      <c r="O110" s="169"/>
      <c r="P110" s="169"/>
    </row>
    <row r="111" spans="1:16" ht="16.5" x14ac:dyDescent="0.25">
      <c r="A111" s="468" t="s">
        <v>360</v>
      </c>
      <c r="B111" s="468"/>
      <c r="C111" s="468"/>
      <c r="D111" s="468"/>
      <c r="E111" s="468"/>
      <c r="F111" s="468"/>
      <c r="G111" s="468"/>
      <c r="H111" s="468"/>
      <c r="I111" s="468"/>
      <c r="J111" s="468"/>
      <c r="K111" s="468"/>
      <c r="L111" s="468"/>
      <c r="M111" s="468"/>
      <c r="N111" s="169"/>
      <c r="O111" s="169"/>
      <c r="P111" s="169"/>
    </row>
    <row r="112" spans="1:16" ht="31.5" customHeight="1" x14ac:dyDescent="0.25">
      <c r="A112" s="469" t="s">
        <v>390</v>
      </c>
      <c r="B112" s="470"/>
      <c r="C112" s="470"/>
      <c r="D112" s="470"/>
      <c r="E112" s="470"/>
      <c r="F112" s="470"/>
      <c r="G112" s="470"/>
      <c r="H112" s="470"/>
      <c r="I112" s="471"/>
      <c r="J112" s="164" t="s">
        <v>393</v>
      </c>
      <c r="K112" s="246">
        <v>2024</v>
      </c>
      <c r="L112" s="246">
        <v>2025</v>
      </c>
      <c r="M112" s="164"/>
      <c r="N112" s="169"/>
      <c r="O112" s="169"/>
      <c r="P112" s="169"/>
    </row>
    <row r="113" spans="1:16" ht="16.5" x14ac:dyDescent="0.25">
      <c r="A113" s="455" t="s">
        <v>170</v>
      </c>
      <c r="B113" s="456"/>
      <c r="C113" s="456"/>
      <c r="D113" s="456"/>
      <c r="E113" s="456"/>
      <c r="F113" s="456"/>
      <c r="G113" s="456"/>
      <c r="H113" s="456"/>
      <c r="I113" s="457"/>
      <c r="J113" s="205">
        <f>SUM(J114:J116)</f>
        <v>1765119.7858999998</v>
      </c>
      <c r="K113" s="205">
        <f t="shared" ref="K113:L113" si="15">SUM(K114:K116)</f>
        <v>1772589.2458999997</v>
      </c>
      <c r="L113" s="205">
        <f t="shared" si="15"/>
        <v>1766035.1958999997</v>
      </c>
      <c r="M113" s="204"/>
      <c r="N113" s="210"/>
      <c r="O113" s="169"/>
      <c r="P113" s="169"/>
    </row>
    <row r="114" spans="1:16" ht="16.5" customHeight="1" x14ac:dyDescent="0.25">
      <c r="A114" s="510" t="s">
        <v>178</v>
      </c>
      <c r="B114" s="511"/>
      <c r="C114" s="511"/>
      <c r="D114" s="511"/>
      <c r="E114" s="511"/>
      <c r="F114" s="511"/>
      <c r="G114" s="511"/>
      <c r="H114" s="511"/>
      <c r="I114" s="512"/>
      <c r="J114" s="173">
        <f>2323033.11*69%</f>
        <v>1602892.8458999998</v>
      </c>
      <c r="K114" s="173">
        <f>2323033.11*69%</f>
        <v>1602892.8458999998</v>
      </c>
      <c r="L114" s="173">
        <f>2323033.11*69%</f>
        <v>1602892.8458999998</v>
      </c>
      <c r="M114" s="172"/>
      <c r="N114" s="169"/>
      <c r="O114" s="169"/>
      <c r="P114" s="169"/>
    </row>
    <row r="115" spans="1:16" ht="16.5" customHeight="1" x14ac:dyDescent="0.25">
      <c r="A115" s="510" t="s">
        <v>297</v>
      </c>
      <c r="B115" s="511"/>
      <c r="C115" s="511"/>
      <c r="D115" s="511"/>
      <c r="E115" s="511"/>
      <c r="F115" s="511"/>
      <c r="G115" s="511"/>
      <c r="H115" s="511"/>
      <c r="I115" s="512"/>
      <c r="J115" s="173">
        <f>39338.44+55979.8</f>
        <v>95318.24</v>
      </c>
      <c r="K115" s="173">
        <f>43233.41+59554.29</f>
        <v>102787.70000000001</v>
      </c>
      <c r="L115" s="173">
        <f>43233.41+53000.24</f>
        <v>96233.65</v>
      </c>
      <c r="M115" s="172"/>
      <c r="N115" s="169"/>
      <c r="O115" s="169"/>
      <c r="P115" s="169"/>
    </row>
    <row r="116" spans="1:16" ht="15" customHeight="1" x14ac:dyDescent="0.25">
      <c r="A116" s="414" t="s">
        <v>175</v>
      </c>
      <c r="B116" s="415"/>
      <c r="C116" s="415"/>
      <c r="D116" s="415"/>
      <c r="E116" s="415"/>
      <c r="F116" s="415"/>
      <c r="G116" s="415"/>
      <c r="H116" s="415"/>
      <c r="I116" s="416"/>
      <c r="J116" s="173">
        <v>66908.7</v>
      </c>
      <c r="K116" s="173">
        <v>66908.7</v>
      </c>
      <c r="L116" s="173">
        <v>66908.7</v>
      </c>
      <c r="M116" s="172"/>
      <c r="N116" s="169"/>
      <c r="O116" s="169"/>
      <c r="P116" s="169"/>
    </row>
    <row r="117" spans="1:16" ht="47.25" customHeight="1" x14ac:dyDescent="0.25">
      <c r="A117" s="519" t="s">
        <v>177</v>
      </c>
      <c r="B117" s="520"/>
      <c r="C117" s="520"/>
      <c r="D117" s="520"/>
      <c r="E117" s="520"/>
      <c r="F117" s="520"/>
      <c r="G117" s="520"/>
      <c r="H117" s="520"/>
      <c r="I117" s="521"/>
      <c r="J117" s="205">
        <f>J118+J119+J123+J125+J126</f>
        <v>1318140.0741000001</v>
      </c>
      <c r="K117" s="205">
        <f t="shared" ref="K117:L117" si="16">K118+K119+K123+K125+K126</f>
        <v>1318140.0741000001</v>
      </c>
      <c r="L117" s="205">
        <f t="shared" si="16"/>
        <v>1318140.0641000001</v>
      </c>
      <c r="M117" s="204"/>
      <c r="N117" s="210">
        <f>J114+J118</f>
        <v>2323033.11</v>
      </c>
      <c r="O117" s="169"/>
      <c r="P117" s="169"/>
    </row>
    <row r="118" spans="1:16" ht="16.5" customHeight="1" x14ac:dyDescent="0.25">
      <c r="A118" s="510" t="s">
        <v>179</v>
      </c>
      <c r="B118" s="511"/>
      <c r="C118" s="511"/>
      <c r="D118" s="511"/>
      <c r="E118" s="511"/>
      <c r="F118" s="511"/>
      <c r="G118" s="511"/>
      <c r="H118" s="511"/>
      <c r="I118" s="512"/>
      <c r="J118" s="173">
        <f>2323033.11-J114</f>
        <v>720140.26410000003</v>
      </c>
      <c r="K118" s="173">
        <f>2323033.11-K114</f>
        <v>720140.26410000003</v>
      </c>
      <c r="L118" s="173">
        <f>2323033.11-L114</f>
        <v>720140.26410000003</v>
      </c>
      <c r="M118" s="172"/>
      <c r="N118" s="169"/>
      <c r="O118" s="169"/>
      <c r="P118" s="169"/>
    </row>
    <row r="119" spans="1:16" ht="16.5" x14ac:dyDescent="0.25">
      <c r="A119" s="414" t="s">
        <v>171</v>
      </c>
      <c r="B119" s="415"/>
      <c r="C119" s="415"/>
      <c r="D119" s="415"/>
      <c r="E119" s="415"/>
      <c r="F119" s="415"/>
      <c r="G119" s="415"/>
      <c r="H119" s="415"/>
      <c r="I119" s="416"/>
      <c r="J119" s="173">
        <f>SUM(J120:J122)</f>
        <v>128153.8119122257</v>
      </c>
      <c r="K119" s="173">
        <f t="shared" ref="K119:L119" si="17">SUM(K120:K122)</f>
        <v>133279.95924764892</v>
      </c>
      <c r="L119" s="173">
        <f t="shared" si="17"/>
        <v>138611.14733542321</v>
      </c>
      <c r="M119" s="172"/>
      <c r="N119" s="169"/>
      <c r="O119" s="169"/>
      <c r="P119" s="169"/>
    </row>
    <row r="120" spans="1:16" ht="15" customHeight="1" x14ac:dyDescent="0.25">
      <c r="A120" s="414" t="s">
        <v>172</v>
      </c>
      <c r="B120" s="415"/>
      <c r="C120" s="415"/>
      <c r="D120" s="415"/>
      <c r="E120" s="415"/>
      <c r="F120" s="415"/>
      <c r="G120" s="415"/>
      <c r="H120" s="415"/>
      <c r="I120" s="416"/>
      <c r="J120" s="173">
        <f>1063234/638*0.9*20</f>
        <v>29997.19749216301</v>
      </c>
      <c r="K120" s="173">
        <f>1105763/638*0.9*20</f>
        <v>31197.075235109718</v>
      </c>
      <c r="L120" s="173">
        <f>1149994/638*0.9*20</f>
        <v>32444.971786833856</v>
      </c>
      <c r="M120" s="172"/>
      <c r="N120" s="169"/>
      <c r="O120" s="169"/>
      <c r="P120" s="169"/>
    </row>
    <row r="121" spans="1:16" ht="16.5" x14ac:dyDescent="0.25">
      <c r="A121" s="414" t="s">
        <v>173</v>
      </c>
      <c r="B121" s="415"/>
      <c r="C121" s="415"/>
      <c r="D121" s="415"/>
      <c r="E121" s="415"/>
      <c r="F121" s="415"/>
      <c r="G121" s="415"/>
      <c r="H121" s="415"/>
      <c r="I121" s="416"/>
      <c r="J121" s="173">
        <f>3176838/638*0.5*20</f>
        <v>49793.699059561128</v>
      </c>
      <c r="K121" s="173">
        <f>3303912/638*0.5*20</f>
        <v>51785.454545454551</v>
      </c>
      <c r="L121" s="173">
        <f>3436068/638*0.5*20</f>
        <v>53856.865203761758</v>
      </c>
      <c r="M121" s="172"/>
      <c r="N121" s="169"/>
      <c r="O121" s="169"/>
      <c r="P121" s="169"/>
    </row>
    <row r="122" spans="1:16" ht="16.5" x14ac:dyDescent="0.25">
      <c r="A122" s="414" t="s">
        <v>174</v>
      </c>
      <c r="B122" s="415"/>
      <c r="C122" s="415"/>
      <c r="D122" s="415"/>
      <c r="E122" s="415"/>
      <c r="F122" s="415"/>
      <c r="G122" s="415"/>
      <c r="H122" s="415"/>
      <c r="I122" s="416"/>
      <c r="J122" s="173">
        <f>1542777/638*20</f>
        <v>48362.915360501567</v>
      </c>
      <c r="K122" s="173">
        <f>1604488/638*20</f>
        <v>50297.429467084643</v>
      </c>
      <c r="L122" s="173">
        <f>1668667/638*20</f>
        <v>52309.310344827594</v>
      </c>
      <c r="M122" s="172"/>
      <c r="N122" s="169"/>
      <c r="O122" s="169"/>
      <c r="P122" s="169"/>
    </row>
    <row r="123" spans="1:16" ht="16.5" x14ac:dyDescent="0.25">
      <c r="A123" s="414" t="s">
        <v>180</v>
      </c>
      <c r="B123" s="415"/>
      <c r="C123" s="415"/>
      <c r="D123" s="415"/>
      <c r="E123" s="415"/>
      <c r="F123" s="415"/>
      <c r="G123" s="415"/>
      <c r="H123" s="415"/>
      <c r="I123" s="416"/>
      <c r="J123" s="173">
        <v>11709.54</v>
      </c>
      <c r="K123" s="173">
        <v>11709.54</v>
      </c>
      <c r="L123" s="173">
        <v>11709.54</v>
      </c>
      <c r="M123" s="172"/>
      <c r="N123" s="169"/>
      <c r="O123" s="169"/>
      <c r="P123" s="169"/>
    </row>
    <row r="124" spans="1:16" ht="16.5" x14ac:dyDescent="0.25">
      <c r="A124" s="414" t="s">
        <v>181</v>
      </c>
      <c r="B124" s="415"/>
      <c r="C124" s="415"/>
      <c r="D124" s="415"/>
      <c r="E124" s="415"/>
      <c r="F124" s="415"/>
      <c r="G124" s="415"/>
      <c r="H124" s="415"/>
      <c r="I124" s="416"/>
      <c r="J124" s="213"/>
      <c r="K124" s="173"/>
      <c r="L124" s="173"/>
      <c r="M124" s="172"/>
      <c r="N124" s="169"/>
      <c r="O124" s="169"/>
      <c r="P124" s="169"/>
    </row>
    <row r="125" spans="1:16" ht="16.5" customHeight="1" x14ac:dyDescent="0.25">
      <c r="A125" s="513" t="s">
        <v>295</v>
      </c>
      <c r="B125" s="514"/>
      <c r="C125" s="514"/>
      <c r="D125" s="514"/>
      <c r="E125" s="514"/>
      <c r="F125" s="514"/>
      <c r="G125" s="514"/>
      <c r="H125" s="514"/>
      <c r="I125" s="515"/>
      <c r="J125" s="173">
        <v>39161.72</v>
      </c>
      <c r="K125" s="173">
        <v>39161.72</v>
      </c>
      <c r="L125" s="173">
        <v>39161.72</v>
      </c>
      <c r="M125" s="172"/>
      <c r="N125" s="169"/>
      <c r="O125" s="169"/>
      <c r="P125" s="169"/>
    </row>
    <row r="126" spans="1:16" ht="16.5" customHeight="1" x14ac:dyDescent="0.25">
      <c r="A126" s="510" t="s">
        <v>300</v>
      </c>
      <c r="B126" s="511"/>
      <c r="C126" s="511"/>
      <c r="D126" s="511"/>
      <c r="E126" s="511"/>
      <c r="F126" s="511"/>
      <c r="G126" s="511"/>
      <c r="H126" s="511"/>
      <c r="I126" s="512"/>
      <c r="J126" s="200">
        <f>187377.85+298332.64+61418.06-J119</f>
        <v>418974.73808777437</v>
      </c>
      <c r="K126" s="200">
        <f>187377.85+298332.64+61418.06-K119</f>
        <v>413848.5907523511</v>
      </c>
      <c r="L126" s="200">
        <f>187377.85+298332.64+61418.05-L119</f>
        <v>408517.39266457682</v>
      </c>
      <c r="M126" s="172"/>
      <c r="N126" s="169"/>
      <c r="O126" s="169"/>
      <c r="P126" s="169"/>
    </row>
    <row r="127" spans="1:16" ht="38.25" customHeight="1" x14ac:dyDescent="0.25">
      <c r="A127" s="452" t="s">
        <v>183</v>
      </c>
      <c r="B127" s="453"/>
      <c r="C127" s="453"/>
      <c r="D127" s="453"/>
      <c r="E127" s="453"/>
      <c r="F127" s="453"/>
      <c r="G127" s="453"/>
      <c r="H127" s="453"/>
      <c r="I127" s="454"/>
      <c r="J127" s="247">
        <f>J113+J117</f>
        <v>3083259.86</v>
      </c>
      <c r="K127" s="247">
        <f t="shared" ref="K127:L127" si="18">K113+K117</f>
        <v>3090729.32</v>
      </c>
      <c r="L127" s="247">
        <f t="shared" si="18"/>
        <v>3084175.26</v>
      </c>
      <c r="M127" s="175"/>
      <c r="N127" s="169"/>
      <c r="O127" s="169"/>
      <c r="P127" s="169"/>
    </row>
    <row r="128" spans="1:16" ht="21.75" customHeight="1" x14ac:dyDescent="0.25">
      <c r="A128" s="414" t="s">
        <v>355</v>
      </c>
      <c r="B128" s="415"/>
      <c r="C128" s="415"/>
      <c r="D128" s="415"/>
      <c r="E128" s="415"/>
      <c r="F128" s="415"/>
      <c r="G128" s="415"/>
      <c r="H128" s="415"/>
      <c r="I128" s="416"/>
      <c r="J128" s="200">
        <f>J127/H129</f>
        <v>154162.99299999999</v>
      </c>
      <c r="K128" s="200">
        <f>K127/H129</f>
        <v>154536.46599999999</v>
      </c>
      <c r="L128" s="200">
        <f>L127/H129</f>
        <v>154208.76299999998</v>
      </c>
      <c r="M128" s="167"/>
      <c r="N128" s="169"/>
      <c r="O128" s="169"/>
      <c r="P128" s="169"/>
    </row>
    <row r="129" spans="1:16" ht="16.5" x14ac:dyDescent="0.25">
      <c r="A129" s="232"/>
      <c r="B129" s="232"/>
      <c r="C129" s="232"/>
      <c r="D129" s="232"/>
      <c r="E129" s="232"/>
      <c r="F129" s="232"/>
      <c r="G129" s="232"/>
      <c r="H129" s="232">
        <v>20</v>
      </c>
      <c r="I129" s="232"/>
      <c r="J129" s="232"/>
      <c r="K129" s="232"/>
      <c r="L129" s="232"/>
      <c r="M129" s="232"/>
      <c r="N129" s="169"/>
      <c r="O129" s="169"/>
      <c r="P129" s="169"/>
    </row>
    <row r="130" spans="1:16" ht="16.5" x14ac:dyDescent="0.25">
      <c r="A130" s="232"/>
      <c r="B130" s="232"/>
      <c r="C130" s="232"/>
      <c r="D130" s="232"/>
      <c r="E130" s="232"/>
      <c r="F130" s="232"/>
      <c r="G130" s="232"/>
      <c r="H130" s="232"/>
      <c r="I130" s="232"/>
      <c r="J130" s="232"/>
      <c r="K130" s="232"/>
      <c r="L130" s="232"/>
      <c r="M130" s="232"/>
      <c r="N130" s="169"/>
      <c r="O130" s="169"/>
      <c r="P130" s="169"/>
    </row>
    <row r="131" spans="1:16" ht="16.5" x14ac:dyDescent="0.25">
      <c r="A131" s="169"/>
      <c r="B131" s="169"/>
      <c r="C131" s="169"/>
      <c r="D131" s="169"/>
      <c r="E131" s="169"/>
      <c r="F131" s="169"/>
      <c r="G131" s="169"/>
      <c r="H131" s="169"/>
      <c r="I131" s="169"/>
      <c r="J131" s="211"/>
      <c r="K131" s="169" t="s">
        <v>378</v>
      </c>
      <c r="L131" s="169"/>
      <c r="M131" s="169"/>
    </row>
    <row r="132" spans="1:16" ht="16.5" x14ac:dyDescent="0.25">
      <c r="A132" s="468" t="s">
        <v>361</v>
      </c>
      <c r="B132" s="468"/>
      <c r="C132" s="468"/>
      <c r="D132" s="468"/>
      <c r="E132" s="468"/>
      <c r="F132" s="468"/>
      <c r="G132" s="468"/>
      <c r="H132" s="468"/>
      <c r="I132" s="468"/>
      <c r="J132" s="468"/>
      <c r="K132" s="468"/>
      <c r="L132" s="468"/>
      <c r="M132" s="468"/>
    </row>
    <row r="133" spans="1:16" ht="33" customHeight="1" x14ac:dyDescent="0.25">
      <c r="A133" s="469" t="s">
        <v>390</v>
      </c>
      <c r="B133" s="470"/>
      <c r="C133" s="470"/>
      <c r="D133" s="470"/>
      <c r="E133" s="470"/>
      <c r="F133" s="470"/>
      <c r="G133" s="470"/>
      <c r="H133" s="470"/>
      <c r="I133" s="471"/>
      <c r="J133" s="164" t="s">
        <v>394</v>
      </c>
      <c r="K133" s="246">
        <v>2024</v>
      </c>
      <c r="L133" s="246">
        <v>2025</v>
      </c>
      <c r="M133" s="164"/>
    </row>
    <row r="134" spans="1:16" ht="16.5" x14ac:dyDescent="0.25">
      <c r="A134" s="455" t="s">
        <v>170</v>
      </c>
      <c r="B134" s="456"/>
      <c r="C134" s="456"/>
      <c r="D134" s="456"/>
      <c r="E134" s="456"/>
      <c r="F134" s="456"/>
      <c r="G134" s="456"/>
      <c r="H134" s="456"/>
      <c r="I134" s="457"/>
      <c r="J134" s="205">
        <f>SUM(J135:J137)</f>
        <v>2482994.7554000001</v>
      </c>
      <c r="K134" s="205">
        <f t="shared" ref="K134:L134" si="19">SUM(K135:K137)</f>
        <v>2486616.3054</v>
      </c>
      <c r="L134" s="205">
        <f t="shared" si="19"/>
        <v>2483438.5854000002</v>
      </c>
      <c r="M134" s="204"/>
      <c r="N134" s="31"/>
    </row>
    <row r="135" spans="1:16" ht="16.5" x14ac:dyDescent="0.25">
      <c r="A135" s="510" t="s">
        <v>178</v>
      </c>
      <c r="B135" s="511"/>
      <c r="C135" s="511"/>
      <c r="D135" s="511"/>
      <c r="E135" s="511"/>
      <c r="F135" s="511"/>
      <c r="G135" s="511"/>
      <c r="H135" s="511"/>
      <c r="I135" s="512"/>
      <c r="J135" s="173">
        <f>3484549.66*69%</f>
        <v>2404339.2653999999</v>
      </c>
      <c r="K135" s="173">
        <f>3484549.66*69%</f>
        <v>2404339.2653999999</v>
      </c>
      <c r="L135" s="173">
        <f>3484549.66*69%</f>
        <v>2404339.2653999999</v>
      </c>
      <c r="M135" s="172"/>
    </row>
    <row r="136" spans="1:16" ht="16.5" x14ac:dyDescent="0.25">
      <c r="A136" s="510" t="s">
        <v>297</v>
      </c>
      <c r="B136" s="511"/>
      <c r="C136" s="511"/>
      <c r="D136" s="511"/>
      <c r="E136" s="511"/>
      <c r="F136" s="511"/>
      <c r="G136" s="511"/>
      <c r="H136" s="511"/>
      <c r="I136" s="512"/>
      <c r="J136" s="173">
        <f>19073.19+27141.72</f>
        <v>46214.91</v>
      </c>
      <c r="K136" s="173">
        <f>20961.65+28874.81</f>
        <v>49836.460000000006</v>
      </c>
      <c r="L136" s="173">
        <f>20961.65+25697.09</f>
        <v>46658.740000000005</v>
      </c>
      <c r="M136" s="172"/>
    </row>
    <row r="137" spans="1:16" ht="16.5" x14ac:dyDescent="0.25">
      <c r="A137" s="414" t="s">
        <v>175</v>
      </c>
      <c r="B137" s="415"/>
      <c r="C137" s="415"/>
      <c r="D137" s="415"/>
      <c r="E137" s="415"/>
      <c r="F137" s="415"/>
      <c r="G137" s="415"/>
      <c r="H137" s="415"/>
      <c r="I137" s="416"/>
      <c r="J137" s="173">
        <v>32440.58</v>
      </c>
      <c r="K137" s="173">
        <v>32440.58</v>
      </c>
      <c r="L137" s="173">
        <v>32440.58</v>
      </c>
      <c r="M137" s="172"/>
    </row>
    <row r="138" spans="1:16" ht="16.5" x14ac:dyDescent="0.25">
      <c r="A138" s="519" t="s">
        <v>177</v>
      </c>
      <c r="B138" s="520"/>
      <c r="C138" s="520"/>
      <c r="D138" s="520"/>
      <c r="E138" s="520"/>
      <c r="F138" s="520"/>
      <c r="G138" s="520"/>
      <c r="H138" s="520"/>
      <c r="I138" s="521"/>
      <c r="J138" s="205">
        <f>J139+J140+J144+J146+J147</f>
        <v>1470149.6946000005</v>
      </c>
      <c r="K138" s="205">
        <f t="shared" ref="K138:L138" si="20">K139+K140+K144+K146+K147</f>
        <v>1470149.6946000003</v>
      </c>
      <c r="L138" s="205">
        <f t="shared" si="20"/>
        <v>1370149.6946000003</v>
      </c>
      <c r="M138" s="204"/>
    </row>
    <row r="139" spans="1:16" ht="16.5" x14ac:dyDescent="0.25">
      <c r="A139" s="510" t="s">
        <v>179</v>
      </c>
      <c r="B139" s="511"/>
      <c r="C139" s="511"/>
      <c r="D139" s="511"/>
      <c r="E139" s="511"/>
      <c r="F139" s="511"/>
      <c r="G139" s="511"/>
      <c r="H139" s="511"/>
      <c r="I139" s="512"/>
      <c r="J139" s="173">
        <f>3484549.66-J135</f>
        <v>1080210.3946000002</v>
      </c>
      <c r="K139" s="173">
        <f>3484549.66-K135</f>
        <v>1080210.3946000002</v>
      </c>
      <c r="L139" s="173">
        <f>3484549.66-L135</f>
        <v>1080210.3946000002</v>
      </c>
      <c r="M139" s="172"/>
    </row>
    <row r="140" spans="1:16" ht="16.5" x14ac:dyDescent="0.25">
      <c r="A140" s="414" t="s">
        <v>171</v>
      </c>
      <c r="B140" s="415"/>
      <c r="C140" s="415"/>
      <c r="D140" s="415"/>
      <c r="E140" s="415"/>
      <c r="F140" s="415"/>
      <c r="G140" s="415"/>
      <c r="H140" s="415"/>
      <c r="I140" s="416"/>
      <c r="J140" s="173">
        <f>SUM(J141:J143)</f>
        <v>102523.04952978058</v>
      </c>
      <c r="K140" s="173">
        <f t="shared" ref="K140:L140" si="21">SUM(K141:K143)</f>
        <v>106623.96739811913</v>
      </c>
      <c r="L140" s="173">
        <f t="shared" si="21"/>
        <v>110888.91786833857</v>
      </c>
      <c r="M140" s="172"/>
    </row>
    <row r="141" spans="1:16" ht="16.5" x14ac:dyDescent="0.25">
      <c r="A141" s="414" t="s">
        <v>172</v>
      </c>
      <c r="B141" s="415"/>
      <c r="C141" s="415"/>
      <c r="D141" s="415"/>
      <c r="E141" s="415"/>
      <c r="F141" s="415"/>
      <c r="G141" s="415"/>
      <c r="H141" s="415"/>
      <c r="I141" s="416"/>
      <c r="J141" s="173">
        <f>1063234/638*0.9*16</f>
        <v>23997.757993730407</v>
      </c>
      <c r="K141" s="173">
        <f>1105763/638*0.9*16</f>
        <v>24957.660188087775</v>
      </c>
      <c r="L141" s="173">
        <f>1149994/638*0.9*16</f>
        <v>25955.977429467086</v>
      </c>
      <c r="M141" s="172"/>
    </row>
    <row r="142" spans="1:16" ht="16.5" x14ac:dyDescent="0.25">
      <c r="A142" s="414" t="s">
        <v>173</v>
      </c>
      <c r="B142" s="415"/>
      <c r="C142" s="415"/>
      <c r="D142" s="415"/>
      <c r="E142" s="415"/>
      <c r="F142" s="415"/>
      <c r="G142" s="415"/>
      <c r="H142" s="415"/>
      <c r="I142" s="416"/>
      <c r="J142" s="173">
        <f>3176838/638*0.5*16</f>
        <v>39834.959247648905</v>
      </c>
      <c r="K142" s="173">
        <f>3303912/638*0.5*16</f>
        <v>41428.36363636364</v>
      </c>
      <c r="L142" s="173">
        <f>3436068/638*0.5*16</f>
        <v>43085.492163009403</v>
      </c>
      <c r="M142" s="172"/>
    </row>
    <row r="143" spans="1:16" ht="16.5" x14ac:dyDescent="0.25">
      <c r="A143" s="414" t="s">
        <v>174</v>
      </c>
      <c r="B143" s="415"/>
      <c r="C143" s="415"/>
      <c r="D143" s="415"/>
      <c r="E143" s="415"/>
      <c r="F143" s="415"/>
      <c r="G143" s="415"/>
      <c r="H143" s="415"/>
      <c r="I143" s="416"/>
      <c r="J143" s="173">
        <f>1542777/638*16</f>
        <v>38690.332288401252</v>
      </c>
      <c r="K143" s="173">
        <f>1604488/638*16</f>
        <v>40237.943573667711</v>
      </c>
      <c r="L143" s="173">
        <f>1668667/638*16</f>
        <v>41847.448275862072</v>
      </c>
      <c r="M143" s="172"/>
    </row>
    <row r="144" spans="1:16" ht="16.5" x14ac:dyDescent="0.25">
      <c r="A144" s="414" t="s">
        <v>180</v>
      </c>
      <c r="B144" s="415"/>
      <c r="C144" s="415"/>
      <c r="D144" s="415"/>
      <c r="E144" s="415"/>
      <c r="F144" s="415"/>
      <c r="G144" s="415"/>
      <c r="H144" s="415"/>
      <c r="I144" s="416"/>
      <c r="J144" s="173">
        <v>5677.35</v>
      </c>
      <c r="K144" s="173">
        <v>5677.35</v>
      </c>
      <c r="L144" s="173">
        <v>5677.35</v>
      </c>
      <c r="M144" s="172"/>
    </row>
    <row r="145" spans="1:13" ht="16.5" x14ac:dyDescent="0.25">
      <c r="A145" s="414" t="s">
        <v>181</v>
      </c>
      <c r="B145" s="415"/>
      <c r="C145" s="415"/>
      <c r="D145" s="415"/>
      <c r="E145" s="415"/>
      <c r="F145" s="415"/>
      <c r="G145" s="415"/>
      <c r="H145" s="415"/>
      <c r="I145" s="416"/>
      <c r="J145" s="213"/>
      <c r="K145" s="173"/>
      <c r="L145" s="173"/>
      <c r="M145" s="172"/>
    </row>
    <row r="146" spans="1:13" ht="16.5" x14ac:dyDescent="0.25">
      <c r="A146" s="513" t="s">
        <v>295</v>
      </c>
      <c r="B146" s="514"/>
      <c r="C146" s="514"/>
      <c r="D146" s="514"/>
      <c r="E146" s="514"/>
      <c r="F146" s="514"/>
      <c r="G146" s="514"/>
      <c r="H146" s="514"/>
      <c r="I146" s="515"/>
      <c r="J146" s="173">
        <v>18987.5</v>
      </c>
      <c r="K146" s="173">
        <v>18987.5</v>
      </c>
      <c r="L146" s="173">
        <v>18987.5</v>
      </c>
      <c r="M146" s="172"/>
    </row>
    <row r="147" spans="1:13" ht="16.5" x14ac:dyDescent="0.25">
      <c r="A147" s="510" t="s">
        <v>300</v>
      </c>
      <c r="B147" s="511"/>
      <c r="C147" s="511"/>
      <c r="D147" s="511"/>
      <c r="E147" s="511"/>
      <c r="F147" s="511"/>
      <c r="G147" s="511"/>
      <c r="H147" s="511"/>
      <c r="I147" s="512"/>
      <c r="J147" s="200">
        <f>90849.87+144646.13+29778.45-J140+100000</f>
        <v>262751.40047021944</v>
      </c>
      <c r="K147" s="200">
        <f>90849.87+144646.13+29778.45-K140+100000</f>
        <v>258650.48260188088</v>
      </c>
      <c r="L147" s="200">
        <f>90849.87+144646.13+29778.45-L140</f>
        <v>154385.53213166143</v>
      </c>
      <c r="M147" s="172"/>
    </row>
    <row r="148" spans="1:13" ht="16.5" x14ac:dyDescent="0.25">
      <c r="A148" s="452" t="s">
        <v>183</v>
      </c>
      <c r="B148" s="453"/>
      <c r="C148" s="453"/>
      <c r="D148" s="453"/>
      <c r="E148" s="453"/>
      <c r="F148" s="453"/>
      <c r="G148" s="453"/>
      <c r="H148" s="453"/>
      <c r="I148" s="454"/>
      <c r="J148" s="247">
        <f>J134+J138</f>
        <v>3953144.4500000007</v>
      </c>
      <c r="K148" s="247">
        <f t="shared" ref="K148" si="22">K134+K138</f>
        <v>3956766</v>
      </c>
      <c r="L148" s="247">
        <f>L134+L138+100000</f>
        <v>3953588.2800000003</v>
      </c>
      <c r="M148" s="247"/>
    </row>
    <row r="149" spans="1:13" ht="16.5" x14ac:dyDescent="0.25">
      <c r="A149" s="414" t="s">
        <v>355</v>
      </c>
      <c r="B149" s="415"/>
      <c r="C149" s="415"/>
      <c r="D149" s="415"/>
      <c r="E149" s="415"/>
      <c r="F149" s="415"/>
      <c r="G149" s="415"/>
      <c r="H149" s="415"/>
      <c r="I149" s="416"/>
      <c r="J149" s="200">
        <f>J148/H150</f>
        <v>247071.52812500004</v>
      </c>
      <c r="K149" s="200">
        <f>K148/H150</f>
        <v>247297.875</v>
      </c>
      <c r="L149" s="200">
        <f>L148/H150</f>
        <v>247099.26750000002</v>
      </c>
      <c r="M149" s="167"/>
    </row>
    <row r="150" spans="1:13" ht="16.5" x14ac:dyDescent="0.25">
      <c r="A150" s="232"/>
      <c r="B150" s="232"/>
      <c r="C150" s="232"/>
      <c r="D150" s="232"/>
      <c r="E150" s="232"/>
      <c r="F150" s="232"/>
      <c r="G150" s="232"/>
      <c r="H150" s="232">
        <v>16</v>
      </c>
      <c r="I150" s="232"/>
      <c r="J150" s="232"/>
      <c r="K150" s="232"/>
      <c r="L150" s="232"/>
      <c r="M150" s="232"/>
    </row>
    <row r="151" spans="1:13" x14ac:dyDescent="0.25">
      <c r="J151">
        <v>4755317.17</v>
      </c>
    </row>
    <row r="152" spans="1:13" x14ac:dyDescent="0.25">
      <c r="J152" s="31">
        <f>J151-J148</f>
        <v>802172.71999999927</v>
      </c>
    </row>
    <row r="153" spans="1:13" ht="16.5" x14ac:dyDescent="0.25">
      <c r="A153" s="169"/>
      <c r="B153" s="169"/>
      <c r="C153" s="169"/>
      <c r="D153" s="169"/>
      <c r="E153" s="169"/>
      <c r="F153" s="169"/>
      <c r="G153" s="169"/>
      <c r="H153" s="169"/>
      <c r="I153" s="169"/>
      <c r="J153" s="211"/>
      <c r="K153" s="169" t="s">
        <v>379</v>
      </c>
      <c r="L153" s="169"/>
      <c r="M153" s="169"/>
    </row>
    <row r="154" spans="1:13" ht="16.5" x14ac:dyDescent="0.25">
      <c r="A154" s="468" t="s">
        <v>362</v>
      </c>
      <c r="B154" s="468"/>
      <c r="C154" s="468"/>
      <c r="D154" s="468"/>
      <c r="E154" s="468"/>
      <c r="F154" s="468"/>
      <c r="G154" s="468"/>
      <c r="H154" s="468"/>
      <c r="I154" s="468"/>
      <c r="J154" s="468"/>
      <c r="K154" s="468"/>
      <c r="L154" s="468"/>
      <c r="M154" s="468"/>
    </row>
    <row r="155" spans="1:13" ht="33.75" customHeight="1" x14ac:dyDescent="0.25">
      <c r="A155" s="469" t="s">
        <v>390</v>
      </c>
      <c r="B155" s="470"/>
      <c r="C155" s="470"/>
      <c r="D155" s="470"/>
      <c r="E155" s="470"/>
      <c r="F155" s="470"/>
      <c r="G155" s="470"/>
      <c r="H155" s="470"/>
      <c r="I155" s="471"/>
      <c r="J155" s="164" t="s">
        <v>393</v>
      </c>
      <c r="K155" s="246">
        <v>2024</v>
      </c>
      <c r="L155" s="246">
        <v>2025</v>
      </c>
      <c r="M155" s="164"/>
    </row>
    <row r="156" spans="1:13" ht="16.5" x14ac:dyDescent="0.25">
      <c r="A156" s="455" t="s">
        <v>170</v>
      </c>
      <c r="B156" s="456"/>
      <c r="C156" s="456"/>
      <c r="D156" s="456"/>
      <c r="E156" s="456"/>
      <c r="F156" s="456"/>
      <c r="G156" s="456"/>
      <c r="H156" s="456"/>
      <c r="I156" s="457"/>
      <c r="J156" s="226">
        <f>SUM(J157:J159)</f>
        <v>2473611.3261000002</v>
      </c>
      <c r="K156" s="226">
        <f t="shared" ref="K156:L156" si="23">SUM(K157:K159)</f>
        <v>2487871.1861</v>
      </c>
      <c r="L156" s="226">
        <f t="shared" si="23"/>
        <v>2475358.8961</v>
      </c>
      <c r="M156" s="204"/>
    </row>
    <row r="157" spans="1:13" ht="16.5" x14ac:dyDescent="0.25">
      <c r="A157" s="510" t="s">
        <v>178</v>
      </c>
      <c r="B157" s="511"/>
      <c r="C157" s="511"/>
      <c r="D157" s="511"/>
      <c r="E157" s="511"/>
      <c r="F157" s="511"/>
      <c r="G157" s="511"/>
      <c r="H157" s="511"/>
      <c r="I157" s="512"/>
      <c r="J157" s="173">
        <f>3136094.69*69%</f>
        <v>2163905.3361</v>
      </c>
      <c r="K157" s="173">
        <f>3136094.69*69%</f>
        <v>2163905.3361</v>
      </c>
      <c r="L157" s="173">
        <f>3136094.69*69%</f>
        <v>2163905.3361</v>
      </c>
      <c r="M157" s="172"/>
    </row>
    <row r="158" spans="1:13" ht="16.5" x14ac:dyDescent="0.25">
      <c r="A158" s="510" t="s">
        <v>297</v>
      </c>
      <c r="B158" s="511"/>
      <c r="C158" s="511"/>
      <c r="D158" s="511"/>
      <c r="E158" s="511"/>
      <c r="F158" s="511"/>
      <c r="G158" s="511"/>
      <c r="H158" s="511"/>
      <c r="I158" s="512"/>
      <c r="J158" s="173">
        <f>75100.67+106870.53</f>
        <v>181971.20000000001</v>
      </c>
      <c r="K158" s="173">
        <f>82536.5+113694.56</f>
        <v>196231.06</v>
      </c>
      <c r="L158" s="173">
        <f>82536.5+101182.27</f>
        <v>183718.77000000002</v>
      </c>
      <c r="M158" s="172"/>
    </row>
    <row r="159" spans="1:13" ht="16.5" x14ac:dyDescent="0.25">
      <c r="A159" s="414" t="s">
        <v>175</v>
      </c>
      <c r="B159" s="415"/>
      <c r="C159" s="415"/>
      <c r="D159" s="415"/>
      <c r="E159" s="415"/>
      <c r="F159" s="415"/>
      <c r="G159" s="415"/>
      <c r="H159" s="415"/>
      <c r="I159" s="416"/>
      <c r="J159" s="173">
        <v>127734.79</v>
      </c>
      <c r="K159" s="173">
        <v>127734.79</v>
      </c>
      <c r="L159" s="173">
        <v>127734.79</v>
      </c>
      <c r="M159" s="172"/>
    </row>
    <row r="160" spans="1:13" ht="16.5" x14ac:dyDescent="0.25">
      <c r="A160" s="519" t="s">
        <v>177</v>
      </c>
      <c r="B160" s="520"/>
      <c r="C160" s="520"/>
      <c r="D160" s="520"/>
      <c r="E160" s="520"/>
      <c r="F160" s="520"/>
      <c r="G160" s="520"/>
      <c r="H160" s="520"/>
      <c r="I160" s="521"/>
      <c r="J160" s="205">
        <f>J161+J162+J166+J168+J169</f>
        <v>2113825.3639000002</v>
      </c>
      <c r="K160" s="205">
        <f t="shared" ref="K160:L160" si="24">K161+K162+K166+K168+K169</f>
        <v>2113825.3639000002</v>
      </c>
      <c r="L160" s="205">
        <f t="shared" si="24"/>
        <v>2113825.3639000002</v>
      </c>
      <c r="M160" s="204"/>
    </row>
    <row r="161" spans="1:14" ht="16.5" x14ac:dyDescent="0.25">
      <c r="A161" s="510" t="s">
        <v>179</v>
      </c>
      <c r="B161" s="511"/>
      <c r="C161" s="511"/>
      <c r="D161" s="511"/>
      <c r="E161" s="511"/>
      <c r="F161" s="511"/>
      <c r="G161" s="511"/>
      <c r="H161" s="511"/>
      <c r="I161" s="512"/>
      <c r="J161" s="173">
        <f>3136094.69-J157</f>
        <v>972189.35389999999</v>
      </c>
      <c r="K161" s="173">
        <f>3136094.69-K157</f>
        <v>972189.35389999999</v>
      </c>
      <c r="L161" s="173">
        <f>3136094.69-L157</f>
        <v>972189.35389999999</v>
      </c>
      <c r="M161" s="172"/>
      <c r="N161" s="31"/>
    </row>
    <row r="162" spans="1:14" ht="16.5" x14ac:dyDescent="0.25">
      <c r="A162" s="414" t="s">
        <v>171</v>
      </c>
      <c r="B162" s="415"/>
      <c r="C162" s="415"/>
      <c r="D162" s="415"/>
      <c r="E162" s="415"/>
      <c r="F162" s="415"/>
      <c r="G162" s="415"/>
      <c r="H162" s="415"/>
      <c r="I162" s="416"/>
      <c r="J162" s="173">
        <f>SUM(J163:J165)</f>
        <v>627953.67836990603</v>
      </c>
      <c r="K162" s="173">
        <f t="shared" ref="K162:L162" si="25">SUM(K163:K165)</f>
        <v>653071.80031347962</v>
      </c>
      <c r="L162" s="173">
        <f t="shared" si="25"/>
        <v>679194.6219435737</v>
      </c>
      <c r="M162" s="172"/>
    </row>
    <row r="163" spans="1:14" ht="16.5" x14ac:dyDescent="0.25">
      <c r="A163" s="414" t="s">
        <v>172</v>
      </c>
      <c r="B163" s="415"/>
      <c r="C163" s="415"/>
      <c r="D163" s="415"/>
      <c r="E163" s="415"/>
      <c r="F163" s="415"/>
      <c r="G163" s="415"/>
      <c r="H163" s="415"/>
      <c r="I163" s="416"/>
      <c r="J163" s="173">
        <f>1063234/638*0.9*98</f>
        <v>146986.26771159875</v>
      </c>
      <c r="K163" s="173">
        <f>1105763/638*0.9*98</f>
        <v>152865.66865203762</v>
      </c>
      <c r="L163" s="173">
        <f>1149994/638*0.9*98</f>
        <v>158980.36175548591</v>
      </c>
      <c r="M163" s="172"/>
    </row>
    <row r="164" spans="1:14" ht="16.5" x14ac:dyDescent="0.25">
      <c r="A164" s="414" t="s">
        <v>173</v>
      </c>
      <c r="B164" s="415"/>
      <c r="C164" s="415"/>
      <c r="D164" s="415"/>
      <c r="E164" s="415"/>
      <c r="F164" s="415"/>
      <c r="G164" s="415"/>
      <c r="H164" s="415"/>
      <c r="I164" s="416"/>
      <c r="J164" s="173">
        <f>3176838/638*0.5*98</f>
        <v>243989.12539184955</v>
      </c>
      <c r="K164" s="173">
        <f>3303912/638*0.5*98</f>
        <v>253748.72727272729</v>
      </c>
      <c r="L164" s="173">
        <f>3436068/638*0.5*98</f>
        <v>263898.63949843257</v>
      </c>
      <c r="M164" s="172"/>
    </row>
    <row r="165" spans="1:14" ht="16.5" x14ac:dyDescent="0.25">
      <c r="A165" s="414" t="s">
        <v>174</v>
      </c>
      <c r="B165" s="415"/>
      <c r="C165" s="415"/>
      <c r="D165" s="415"/>
      <c r="E165" s="415"/>
      <c r="F165" s="415"/>
      <c r="G165" s="415"/>
      <c r="H165" s="415"/>
      <c r="I165" s="416"/>
      <c r="J165" s="173">
        <f>1542777/638*98</f>
        <v>236978.28526645768</v>
      </c>
      <c r="K165" s="173">
        <f>1604488/638*98</f>
        <v>246457.40438871473</v>
      </c>
      <c r="L165" s="173">
        <f>1668667/638*98</f>
        <v>256315.62068965519</v>
      </c>
      <c r="M165" s="172"/>
    </row>
    <row r="166" spans="1:14" ht="16.5" x14ac:dyDescent="0.25">
      <c r="A166" s="414" t="s">
        <v>180</v>
      </c>
      <c r="B166" s="415"/>
      <c r="C166" s="415"/>
      <c r="D166" s="415"/>
      <c r="E166" s="415"/>
      <c r="F166" s="415"/>
      <c r="G166" s="415"/>
      <c r="H166" s="415"/>
      <c r="I166" s="416"/>
      <c r="J166" s="173">
        <v>22354.57</v>
      </c>
      <c r="K166" s="173">
        <v>22354.57</v>
      </c>
      <c r="L166" s="173">
        <v>22354.57</v>
      </c>
      <c r="M166" s="172"/>
    </row>
    <row r="167" spans="1:14" ht="16.5" x14ac:dyDescent="0.25">
      <c r="A167" s="414" t="s">
        <v>181</v>
      </c>
      <c r="B167" s="415"/>
      <c r="C167" s="415"/>
      <c r="D167" s="415"/>
      <c r="E167" s="415"/>
      <c r="F167" s="415"/>
      <c r="G167" s="415"/>
      <c r="H167" s="415"/>
      <c r="I167" s="416"/>
      <c r="J167" s="213"/>
      <c r="K167" s="173"/>
      <c r="L167" s="173"/>
      <c r="M167" s="172"/>
    </row>
    <row r="168" spans="1:14" ht="16.5" x14ac:dyDescent="0.25">
      <c r="A168" s="513" t="s">
        <v>295</v>
      </c>
      <c r="B168" s="514"/>
      <c r="C168" s="514"/>
      <c r="D168" s="514"/>
      <c r="E168" s="514"/>
      <c r="F168" s="514"/>
      <c r="G168" s="514"/>
      <c r="H168" s="514"/>
      <c r="I168" s="515"/>
      <c r="J168" s="173">
        <v>74763.289999999994</v>
      </c>
      <c r="K168" s="173">
        <v>74763.289999999994</v>
      </c>
      <c r="L168" s="173">
        <v>74763.289999999994</v>
      </c>
      <c r="M168" s="172"/>
    </row>
    <row r="169" spans="1:14" ht="16.5" x14ac:dyDescent="0.25">
      <c r="A169" s="510" t="s">
        <v>300</v>
      </c>
      <c r="B169" s="511"/>
      <c r="C169" s="511"/>
      <c r="D169" s="511"/>
      <c r="E169" s="511"/>
      <c r="F169" s="511"/>
      <c r="G169" s="511"/>
      <c r="H169" s="511"/>
      <c r="I169" s="512"/>
      <c r="J169" s="200">
        <f>357721.35+569544.13+117252.67-J162</f>
        <v>416564.47163009399</v>
      </c>
      <c r="K169" s="200">
        <f>357721.35+569544.13+117252.67-K162</f>
        <v>391446.34968652041</v>
      </c>
      <c r="L169" s="200">
        <f>357721.35+569544.13+117252.67-L162</f>
        <v>365323.52805642632</v>
      </c>
      <c r="M169" s="172"/>
    </row>
    <row r="170" spans="1:14" ht="16.5" x14ac:dyDescent="0.25">
      <c r="A170" s="452" t="s">
        <v>183</v>
      </c>
      <c r="B170" s="453"/>
      <c r="C170" s="453"/>
      <c r="D170" s="453"/>
      <c r="E170" s="453"/>
      <c r="F170" s="453"/>
      <c r="G170" s="453"/>
      <c r="H170" s="453"/>
      <c r="I170" s="454"/>
      <c r="J170" s="247">
        <f>J156+J160</f>
        <v>4587436.6900000004</v>
      </c>
      <c r="K170" s="247">
        <f t="shared" ref="K170:L170" si="26">K156+K160</f>
        <v>4601696.5500000007</v>
      </c>
      <c r="L170" s="247">
        <f t="shared" si="26"/>
        <v>4589184.26</v>
      </c>
      <c r="M170" s="175"/>
    </row>
    <row r="171" spans="1:14" ht="16.5" x14ac:dyDescent="0.25">
      <c r="A171" s="414" t="s">
        <v>355</v>
      </c>
      <c r="B171" s="415"/>
      <c r="C171" s="415"/>
      <c r="D171" s="415"/>
      <c r="E171" s="415"/>
      <c r="F171" s="415"/>
      <c r="G171" s="415"/>
      <c r="H171" s="415"/>
      <c r="I171" s="416"/>
      <c r="J171" s="200">
        <f>J170/H172</f>
        <v>46810.578469387758</v>
      </c>
      <c r="K171" s="200">
        <f>K170/H172</f>
        <v>46956.087244897964</v>
      </c>
      <c r="L171" s="200">
        <f>L170/H172</f>
        <v>46828.410816326526</v>
      </c>
      <c r="M171" s="167"/>
    </row>
    <row r="172" spans="1:14" ht="16.5" x14ac:dyDescent="0.25">
      <c r="A172" s="232"/>
      <c r="B172" s="232"/>
      <c r="C172" s="232"/>
      <c r="D172" s="232"/>
      <c r="E172" s="232"/>
      <c r="F172" s="232"/>
      <c r="G172" s="232"/>
      <c r="H172" s="232">
        <v>98</v>
      </c>
      <c r="I172" s="232"/>
      <c r="J172" s="232"/>
      <c r="K172" s="232"/>
      <c r="L172" s="232"/>
      <c r="M172" s="232"/>
    </row>
    <row r="175" spans="1:14" ht="16.5" x14ac:dyDescent="0.25">
      <c r="A175" s="169"/>
      <c r="B175" s="169"/>
      <c r="C175" s="169"/>
      <c r="D175" s="169"/>
      <c r="E175" s="169"/>
      <c r="F175" s="169"/>
      <c r="G175" s="169"/>
      <c r="H175" s="169"/>
      <c r="I175" s="169"/>
      <c r="J175" s="211"/>
      <c r="K175" s="169" t="s">
        <v>380</v>
      </c>
      <c r="L175" s="169"/>
      <c r="M175" s="169"/>
    </row>
    <row r="176" spans="1:14" ht="16.5" x14ac:dyDescent="0.25">
      <c r="A176" s="468" t="s">
        <v>363</v>
      </c>
      <c r="B176" s="468"/>
      <c r="C176" s="468"/>
      <c r="D176" s="468"/>
      <c r="E176" s="468"/>
      <c r="F176" s="468"/>
      <c r="G176" s="468"/>
      <c r="H176" s="468"/>
      <c r="I176" s="468"/>
      <c r="J176" s="468"/>
      <c r="K176" s="468"/>
      <c r="L176" s="468"/>
      <c r="M176" s="468"/>
    </row>
    <row r="177" spans="1:14" ht="33.75" customHeight="1" x14ac:dyDescent="0.25">
      <c r="A177" s="469" t="s">
        <v>390</v>
      </c>
      <c r="B177" s="470"/>
      <c r="C177" s="470"/>
      <c r="D177" s="470"/>
      <c r="E177" s="470"/>
      <c r="F177" s="470"/>
      <c r="G177" s="470"/>
      <c r="H177" s="470"/>
      <c r="I177" s="471"/>
      <c r="J177" s="164" t="s">
        <v>392</v>
      </c>
      <c r="K177" s="246">
        <v>2024</v>
      </c>
      <c r="L177" s="246">
        <v>2025</v>
      </c>
      <c r="M177" s="164"/>
    </row>
    <row r="178" spans="1:14" ht="16.5" x14ac:dyDescent="0.25">
      <c r="A178" s="455" t="s">
        <v>170</v>
      </c>
      <c r="B178" s="456"/>
      <c r="C178" s="456"/>
      <c r="D178" s="456"/>
      <c r="E178" s="456"/>
      <c r="F178" s="456"/>
      <c r="G178" s="456"/>
      <c r="H178" s="456"/>
      <c r="I178" s="457"/>
      <c r="J178" s="205">
        <f>SUM(J179:J181)</f>
        <v>4758478.2029999997</v>
      </c>
      <c r="K178" s="205">
        <f t="shared" ref="K178:L178" si="27">SUM(K179:K181)</f>
        <v>4770927.2929999996</v>
      </c>
      <c r="L178" s="205">
        <f t="shared" si="27"/>
        <v>4760003.8729999997</v>
      </c>
      <c r="M178" s="204"/>
      <c r="N178" s="31"/>
    </row>
    <row r="179" spans="1:14" ht="16.5" x14ac:dyDescent="0.25">
      <c r="A179" s="510" t="s">
        <v>178</v>
      </c>
      <c r="B179" s="511"/>
      <c r="C179" s="511"/>
      <c r="D179" s="511"/>
      <c r="E179" s="511"/>
      <c r="F179" s="511"/>
      <c r="G179" s="511"/>
      <c r="H179" s="511"/>
      <c r="I179" s="512"/>
      <c r="J179" s="173">
        <f>6504492.7*69%</f>
        <v>4488099.9629999995</v>
      </c>
      <c r="K179" s="173">
        <f>6504492.7*69%</f>
        <v>4488099.9629999995</v>
      </c>
      <c r="L179" s="173">
        <f>6504492.7*69%</f>
        <v>4488099.9629999995</v>
      </c>
      <c r="M179" s="172"/>
    </row>
    <row r="180" spans="1:14" ht="16.5" x14ac:dyDescent="0.25">
      <c r="A180" s="510" t="s">
        <v>297</v>
      </c>
      <c r="B180" s="511"/>
      <c r="C180" s="511"/>
      <c r="D180" s="511"/>
      <c r="E180" s="511"/>
      <c r="F180" s="511"/>
      <c r="G180" s="511"/>
      <c r="H180" s="511"/>
      <c r="I180" s="512"/>
      <c r="J180" s="173">
        <f>65564.07+93299.67</f>
        <v>158863.74</v>
      </c>
      <c r="K180" s="173">
        <f>72055.68+99257.15</f>
        <v>171312.83</v>
      </c>
      <c r="L180" s="173">
        <f>72055.68+88333.73</f>
        <v>160389.40999999997</v>
      </c>
      <c r="M180" s="172"/>
    </row>
    <row r="181" spans="1:14" ht="16.5" x14ac:dyDescent="0.25">
      <c r="A181" s="414" t="s">
        <v>175</v>
      </c>
      <c r="B181" s="415"/>
      <c r="C181" s="415"/>
      <c r="D181" s="415"/>
      <c r="E181" s="415"/>
      <c r="F181" s="415"/>
      <c r="G181" s="415"/>
      <c r="H181" s="415"/>
      <c r="I181" s="416"/>
      <c r="J181" s="173">
        <v>111514.5</v>
      </c>
      <c r="K181" s="173">
        <v>111514.5</v>
      </c>
      <c r="L181" s="173">
        <v>111514.5</v>
      </c>
      <c r="M181" s="172"/>
    </row>
    <row r="182" spans="1:14" ht="16.5" x14ac:dyDescent="0.25">
      <c r="A182" s="519" t="s">
        <v>177</v>
      </c>
      <c r="B182" s="520"/>
      <c r="C182" s="520"/>
      <c r="D182" s="520"/>
      <c r="E182" s="520"/>
      <c r="F182" s="520"/>
      <c r="G182" s="520"/>
      <c r="H182" s="520"/>
      <c r="I182" s="521"/>
      <c r="J182" s="205">
        <f>J183+J184+J188+J190+J191</f>
        <v>3013059.0870000008</v>
      </c>
      <c r="K182" s="205">
        <f t="shared" ref="K182:L182" si="28">K183+K184+K188+K190+K191</f>
        <v>3013059.0870000008</v>
      </c>
      <c r="L182" s="205">
        <f t="shared" si="28"/>
        <v>3013059.0870000008</v>
      </c>
      <c r="M182" s="204"/>
    </row>
    <row r="183" spans="1:14" ht="16.5" x14ac:dyDescent="0.25">
      <c r="A183" s="510" t="s">
        <v>179</v>
      </c>
      <c r="B183" s="511"/>
      <c r="C183" s="511"/>
      <c r="D183" s="511"/>
      <c r="E183" s="511"/>
      <c r="F183" s="511"/>
      <c r="G183" s="511"/>
      <c r="H183" s="511"/>
      <c r="I183" s="512"/>
      <c r="J183" s="173">
        <f>6504492.7-J179</f>
        <v>2016392.7370000007</v>
      </c>
      <c r="K183" s="173">
        <f>6504492.7-K179</f>
        <v>2016392.7370000007</v>
      </c>
      <c r="L183" s="173">
        <f>6504492.7-L179</f>
        <v>2016392.7370000007</v>
      </c>
      <c r="M183" s="172"/>
    </row>
    <row r="184" spans="1:14" ht="16.5" x14ac:dyDescent="0.25">
      <c r="A184" s="414" t="s">
        <v>171</v>
      </c>
      <c r="B184" s="415"/>
      <c r="C184" s="415"/>
      <c r="D184" s="415"/>
      <c r="E184" s="415"/>
      <c r="F184" s="415"/>
      <c r="G184" s="415"/>
      <c r="H184" s="415"/>
      <c r="I184" s="416"/>
      <c r="J184" s="173">
        <f>SUM(J185:J187)</f>
        <v>64076.905956112852</v>
      </c>
      <c r="K184" s="173">
        <f t="shared" ref="K184:L184" si="29">SUM(K185:K187)</f>
        <v>66639.97962382446</v>
      </c>
      <c r="L184" s="173">
        <f t="shared" si="29"/>
        <v>69305.573667711607</v>
      </c>
      <c r="M184" s="172"/>
    </row>
    <row r="185" spans="1:14" ht="16.5" x14ac:dyDescent="0.25">
      <c r="A185" s="414" t="s">
        <v>172</v>
      </c>
      <c r="B185" s="415"/>
      <c r="C185" s="415"/>
      <c r="D185" s="415"/>
      <c r="E185" s="415"/>
      <c r="F185" s="415"/>
      <c r="G185" s="415"/>
      <c r="H185" s="415"/>
      <c r="I185" s="416"/>
      <c r="J185" s="173">
        <f>1063234/638*0.9*10</f>
        <v>14998.598746081505</v>
      </c>
      <c r="K185" s="173">
        <f>1105763/638*0.9*10</f>
        <v>15598.537617554859</v>
      </c>
      <c r="L185" s="173">
        <f>1149994/638*0.9*10</f>
        <v>16222.485893416928</v>
      </c>
      <c r="M185" s="172"/>
    </row>
    <row r="186" spans="1:14" ht="16.5" x14ac:dyDescent="0.25">
      <c r="A186" s="414" t="s">
        <v>173</v>
      </c>
      <c r="B186" s="415"/>
      <c r="C186" s="415"/>
      <c r="D186" s="415"/>
      <c r="E186" s="415"/>
      <c r="F186" s="415"/>
      <c r="G186" s="415"/>
      <c r="H186" s="415"/>
      <c r="I186" s="416"/>
      <c r="J186" s="173">
        <f>3176838/638*0.5*10</f>
        <v>24896.849529780564</v>
      </c>
      <c r="K186" s="173">
        <f>3303912/638*0.5*10</f>
        <v>25892.727272727276</v>
      </c>
      <c r="L186" s="173">
        <f>3436068/638*0.5*10</f>
        <v>26928.432601880879</v>
      </c>
      <c r="M186" s="172"/>
    </row>
    <row r="187" spans="1:14" ht="16.5" x14ac:dyDescent="0.25">
      <c r="A187" s="414" t="s">
        <v>174</v>
      </c>
      <c r="B187" s="415"/>
      <c r="C187" s="415"/>
      <c r="D187" s="415"/>
      <c r="E187" s="415"/>
      <c r="F187" s="415"/>
      <c r="G187" s="415"/>
      <c r="H187" s="415"/>
      <c r="I187" s="416"/>
      <c r="J187" s="173">
        <f>1542777/638*10</f>
        <v>24181.457680250784</v>
      </c>
      <c r="K187" s="173">
        <f>1604488/638*10</f>
        <v>25148.714733542321</v>
      </c>
      <c r="L187" s="173">
        <f>1668667/638*10</f>
        <v>26154.655172413797</v>
      </c>
      <c r="M187" s="172"/>
    </row>
    <row r="188" spans="1:14" ht="16.5" x14ac:dyDescent="0.25">
      <c r="A188" s="414" t="s">
        <v>180</v>
      </c>
      <c r="B188" s="415"/>
      <c r="C188" s="415"/>
      <c r="D188" s="415"/>
      <c r="E188" s="415"/>
      <c r="F188" s="415"/>
      <c r="G188" s="415"/>
      <c r="H188" s="415"/>
      <c r="I188" s="416"/>
      <c r="J188" s="173">
        <v>19515.89</v>
      </c>
      <c r="K188" s="173">
        <v>19515.89</v>
      </c>
      <c r="L188" s="173">
        <v>19515.89</v>
      </c>
      <c r="M188" s="172"/>
    </row>
    <row r="189" spans="1:14" ht="16.5" x14ac:dyDescent="0.25">
      <c r="A189" s="414" t="s">
        <v>181</v>
      </c>
      <c r="B189" s="415"/>
      <c r="C189" s="415"/>
      <c r="D189" s="415"/>
      <c r="E189" s="415"/>
      <c r="F189" s="415"/>
      <c r="G189" s="415"/>
      <c r="H189" s="415"/>
      <c r="I189" s="416"/>
      <c r="J189" s="213"/>
      <c r="K189" s="173"/>
      <c r="L189" s="173"/>
      <c r="M189" s="172"/>
    </row>
    <row r="190" spans="1:14" ht="16.5" x14ac:dyDescent="0.25">
      <c r="A190" s="513" t="s">
        <v>295</v>
      </c>
      <c r="B190" s="514"/>
      <c r="C190" s="514"/>
      <c r="D190" s="514"/>
      <c r="E190" s="514"/>
      <c r="F190" s="514"/>
      <c r="G190" s="514"/>
      <c r="H190" s="514"/>
      <c r="I190" s="515"/>
      <c r="J190" s="173">
        <v>65269.54</v>
      </c>
      <c r="K190" s="173">
        <v>65269.54</v>
      </c>
      <c r="L190" s="173">
        <v>65269.54</v>
      </c>
      <c r="M190" s="172"/>
    </row>
    <row r="191" spans="1:14" ht="16.5" x14ac:dyDescent="0.25">
      <c r="A191" s="510" t="s">
        <v>300</v>
      </c>
      <c r="B191" s="511"/>
      <c r="C191" s="511"/>
      <c r="D191" s="511"/>
      <c r="E191" s="511"/>
      <c r="F191" s="511"/>
      <c r="G191" s="511"/>
      <c r="H191" s="511"/>
      <c r="I191" s="512"/>
      <c r="J191" s="200">
        <f>312296.42+497221.07+102363.43-J184</f>
        <v>847804.01404388703</v>
      </c>
      <c r="K191" s="200">
        <f>312296.42+497221.07+102363.43-K184</f>
        <v>845240.94037617545</v>
      </c>
      <c r="L191" s="200">
        <f>312296.42+497221.07+102363.43-L184</f>
        <v>842575.34633228835</v>
      </c>
      <c r="M191" s="172"/>
    </row>
    <row r="192" spans="1:14" ht="16.5" x14ac:dyDescent="0.25">
      <c r="A192" s="452" t="s">
        <v>183</v>
      </c>
      <c r="B192" s="453"/>
      <c r="C192" s="453"/>
      <c r="D192" s="453"/>
      <c r="E192" s="453"/>
      <c r="F192" s="453"/>
      <c r="G192" s="453"/>
      <c r="H192" s="453"/>
      <c r="I192" s="454"/>
      <c r="J192" s="247">
        <f>J178+J182</f>
        <v>7771537.290000001</v>
      </c>
      <c r="K192" s="247">
        <f t="shared" ref="K192:L192" si="30">K178+K182</f>
        <v>7783986.3800000008</v>
      </c>
      <c r="L192" s="247">
        <f t="shared" si="30"/>
        <v>7773062.9600000009</v>
      </c>
      <c r="M192" s="175"/>
    </row>
    <row r="193" spans="1:14" ht="16.5" x14ac:dyDescent="0.25">
      <c r="A193" s="414" t="s">
        <v>355</v>
      </c>
      <c r="B193" s="415"/>
      <c r="C193" s="415"/>
      <c r="D193" s="415"/>
      <c r="E193" s="415"/>
      <c r="F193" s="415"/>
      <c r="G193" s="415"/>
      <c r="H193" s="415"/>
      <c r="I193" s="416"/>
      <c r="J193" s="200">
        <f>J192/H194</f>
        <v>777153.72900000005</v>
      </c>
      <c r="K193" s="200">
        <f>K192/H194</f>
        <v>778398.63800000004</v>
      </c>
      <c r="L193" s="200">
        <f>L192/H194</f>
        <v>777306.29600000009</v>
      </c>
      <c r="M193" s="167"/>
    </row>
    <row r="194" spans="1:14" ht="16.5" x14ac:dyDescent="0.25">
      <c r="A194" s="232"/>
      <c r="B194" s="232"/>
      <c r="C194" s="232"/>
      <c r="D194" s="232"/>
      <c r="E194" s="232"/>
      <c r="F194" s="232"/>
      <c r="G194" s="232"/>
      <c r="H194" s="232">
        <v>10</v>
      </c>
      <c r="I194" s="232"/>
      <c r="J194" s="232"/>
      <c r="K194" s="232"/>
      <c r="L194" s="232"/>
      <c r="M194" s="232"/>
    </row>
    <row r="196" spans="1:14" ht="16.5" x14ac:dyDescent="0.25">
      <c r="A196" s="169"/>
      <c r="B196" s="169"/>
      <c r="C196" s="169"/>
      <c r="D196" s="169"/>
      <c r="E196" s="169"/>
      <c r="F196" s="169"/>
      <c r="G196" s="169"/>
      <c r="H196" s="169"/>
      <c r="I196" s="169"/>
      <c r="J196" s="211"/>
      <c r="K196" s="169" t="s">
        <v>381</v>
      </c>
      <c r="L196" s="169"/>
      <c r="M196" s="169"/>
    </row>
    <row r="197" spans="1:14" ht="16.5" x14ac:dyDescent="0.25">
      <c r="A197" s="468" t="s">
        <v>364</v>
      </c>
      <c r="B197" s="468"/>
      <c r="C197" s="468"/>
      <c r="D197" s="468"/>
      <c r="E197" s="468"/>
      <c r="F197" s="468"/>
      <c r="G197" s="468"/>
      <c r="H197" s="468"/>
      <c r="I197" s="468"/>
      <c r="J197" s="468"/>
      <c r="K197" s="468"/>
      <c r="L197" s="468"/>
      <c r="M197" s="468"/>
    </row>
    <row r="198" spans="1:14" ht="33.75" customHeight="1" x14ac:dyDescent="0.25">
      <c r="A198" s="469" t="s">
        <v>390</v>
      </c>
      <c r="B198" s="470"/>
      <c r="C198" s="470"/>
      <c r="D198" s="470"/>
      <c r="E198" s="470"/>
      <c r="F198" s="470"/>
      <c r="G198" s="470"/>
      <c r="H198" s="470"/>
      <c r="I198" s="471"/>
      <c r="J198" s="164" t="s">
        <v>392</v>
      </c>
      <c r="K198" s="246">
        <v>2024</v>
      </c>
      <c r="L198" s="246">
        <v>2025</v>
      </c>
      <c r="M198" s="164"/>
    </row>
    <row r="199" spans="1:14" ht="16.5" x14ac:dyDescent="0.25">
      <c r="A199" s="455" t="s">
        <v>170</v>
      </c>
      <c r="B199" s="456"/>
      <c r="C199" s="456"/>
      <c r="D199" s="456"/>
      <c r="E199" s="456"/>
      <c r="F199" s="456"/>
      <c r="G199" s="456"/>
      <c r="H199" s="456"/>
      <c r="I199" s="457"/>
      <c r="J199" s="205">
        <f>SUM(J200:J202)</f>
        <v>2512939.0760999997</v>
      </c>
      <c r="K199" s="205">
        <f t="shared" ref="K199:L199" si="31">SUM(K200:K202)</f>
        <v>2529009.7160999998</v>
      </c>
      <c r="L199" s="205">
        <f t="shared" si="31"/>
        <v>2514908.5660999999</v>
      </c>
      <c r="M199" s="204"/>
      <c r="N199" s="31"/>
    </row>
    <row r="200" spans="1:14" ht="16.5" x14ac:dyDescent="0.25">
      <c r="A200" s="510" t="s">
        <v>178</v>
      </c>
      <c r="B200" s="511"/>
      <c r="C200" s="511"/>
      <c r="D200" s="511"/>
      <c r="E200" s="511"/>
      <c r="F200" s="511"/>
      <c r="G200" s="511"/>
      <c r="H200" s="511"/>
      <c r="I200" s="512"/>
      <c r="J200" s="173">
        <f>3136094.69*69%</f>
        <v>2163905.3361</v>
      </c>
      <c r="K200" s="173">
        <f>3136094.69*69%</f>
        <v>2163905.3361</v>
      </c>
      <c r="L200" s="173">
        <f>3136094.69*69%</f>
        <v>2163905.3361</v>
      </c>
      <c r="M200" s="172"/>
    </row>
    <row r="201" spans="1:14" ht="16.5" x14ac:dyDescent="0.25">
      <c r="A201" s="510" t="s">
        <v>297</v>
      </c>
      <c r="B201" s="511"/>
      <c r="C201" s="511"/>
      <c r="D201" s="511"/>
      <c r="E201" s="511"/>
      <c r="F201" s="511"/>
      <c r="G201" s="511"/>
      <c r="H201" s="511"/>
      <c r="I201" s="512"/>
      <c r="J201" s="173">
        <f>84637.26+120441.39</f>
        <v>205078.65</v>
      </c>
      <c r="K201" s="173">
        <f>93017.33+128131.96</f>
        <v>221149.29</v>
      </c>
      <c r="L201" s="173">
        <f>93017.33+114030.81</f>
        <v>207048.14</v>
      </c>
      <c r="M201" s="172"/>
    </row>
    <row r="202" spans="1:14" ht="16.5" x14ac:dyDescent="0.25">
      <c r="A202" s="414" t="s">
        <v>175</v>
      </c>
      <c r="B202" s="415"/>
      <c r="C202" s="415"/>
      <c r="D202" s="415"/>
      <c r="E202" s="415"/>
      <c r="F202" s="415"/>
      <c r="G202" s="415"/>
      <c r="H202" s="415"/>
      <c r="I202" s="416"/>
      <c r="J202" s="173">
        <v>143955.09</v>
      </c>
      <c r="K202" s="173">
        <v>143955.09</v>
      </c>
      <c r="L202" s="173">
        <v>143955.09</v>
      </c>
      <c r="M202" s="172"/>
    </row>
    <row r="203" spans="1:14" ht="16.5" x14ac:dyDescent="0.25">
      <c r="A203" s="519" t="s">
        <v>177</v>
      </c>
      <c r="B203" s="520"/>
      <c r="C203" s="520"/>
      <c r="D203" s="520"/>
      <c r="E203" s="520"/>
      <c r="F203" s="520"/>
      <c r="G203" s="520"/>
      <c r="H203" s="520"/>
      <c r="I203" s="521"/>
      <c r="J203" s="205">
        <f>J204+J205+J209+J211+J212</f>
        <v>2258795.0038999999</v>
      </c>
      <c r="K203" s="205">
        <f t="shared" ref="K203:L203" si="32">K204+K205+K209+K211+K212</f>
        <v>2258795.0038999999</v>
      </c>
      <c r="L203" s="205">
        <f t="shared" si="32"/>
        <v>2258795.0139000001</v>
      </c>
      <c r="M203" s="204"/>
    </row>
    <row r="204" spans="1:14" ht="16.5" x14ac:dyDescent="0.25">
      <c r="A204" s="510" t="s">
        <v>179</v>
      </c>
      <c r="B204" s="511"/>
      <c r="C204" s="511"/>
      <c r="D204" s="511"/>
      <c r="E204" s="511"/>
      <c r="F204" s="511"/>
      <c r="G204" s="511"/>
      <c r="H204" s="511"/>
      <c r="I204" s="512"/>
      <c r="J204" s="173">
        <f>3136094.69-J200</f>
        <v>972189.35389999999</v>
      </c>
      <c r="K204" s="173">
        <f>3136094.69-K200</f>
        <v>972189.35389999999</v>
      </c>
      <c r="L204" s="173">
        <f>3136094.69-L200</f>
        <v>972189.35389999999</v>
      </c>
      <c r="M204" s="172"/>
    </row>
    <row r="205" spans="1:14" ht="16.5" x14ac:dyDescent="0.25">
      <c r="A205" s="414" t="s">
        <v>171</v>
      </c>
      <c r="B205" s="415"/>
      <c r="C205" s="415"/>
      <c r="D205" s="415"/>
      <c r="E205" s="415"/>
      <c r="F205" s="415"/>
      <c r="G205" s="415"/>
      <c r="H205" s="415"/>
      <c r="I205" s="416"/>
      <c r="J205" s="173">
        <f>SUM(J206:J208)</f>
        <v>442130.65109717869</v>
      </c>
      <c r="K205" s="173">
        <f t="shared" ref="K205:L205" si="33">SUM(K206:K208)</f>
        <v>459815.8594043887</v>
      </c>
      <c r="L205" s="173">
        <f t="shared" si="33"/>
        <v>478208.45830721001</v>
      </c>
      <c r="M205" s="172"/>
    </row>
    <row r="206" spans="1:14" ht="16.5" x14ac:dyDescent="0.25">
      <c r="A206" s="414" t="s">
        <v>172</v>
      </c>
      <c r="B206" s="415"/>
      <c r="C206" s="415"/>
      <c r="D206" s="415"/>
      <c r="E206" s="415"/>
      <c r="F206" s="415"/>
      <c r="G206" s="415"/>
      <c r="H206" s="415"/>
      <c r="I206" s="416"/>
      <c r="J206" s="173">
        <f>1063234/638*0.9*69</f>
        <v>103490.33134796238</v>
      </c>
      <c r="K206" s="173">
        <f>1105763/638*0.9*69</f>
        <v>107629.90956112853</v>
      </c>
      <c r="L206" s="173">
        <f>1149994/638*0.9*69</f>
        <v>111935.1526645768</v>
      </c>
      <c r="M206" s="172"/>
    </row>
    <row r="207" spans="1:14" ht="16.5" x14ac:dyDescent="0.25">
      <c r="A207" s="414" t="s">
        <v>173</v>
      </c>
      <c r="B207" s="415"/>
      <c r="C207" s="415"/>
      <c r="D207" s="415"/>
      <c r="E207" s="415"/>
      <c r="F207" s="415"/>
      <c r="G207" s="415"/>
      <c r="H207" s="415"/>
      <c r="I207" s="416"/>
      <c r="J207" s="173">
        <f>3176838/638*0.5*69</f>
        <v>171788.2617554859</v>
      </c>
      <c r="K207" s="173">
        <f>3303912/638*0.5*69</f>
        <v>178659.81818181821</v>
      </c>
      <c r="L207" s="173">
        <f>3436068/638*0.5*69</f>
        <v>185806.18495297804</v>
      </c>
      <c r="M207" s="172"/>
    </row>
    <row r="208" spans="1:14" ht="16.5" x14ac:dyDescent="0.25">
      <c r="A208" s="414" t="s">
        <v>174</v>
      </c>
      <c r="B208" s="415"/>
      <c r="C208" s="415"/>
      <c r="D208" s="415"/>
      <c r="E208" s="415"/>
      <c r="F208" s="415"/>
      <c r="G208" s="415"/>
      <c r="H208" s="415"/>
      <c r="I208" s="416"/>
      <c r="J208" s="173">
        <f>1542777/638*69</f>
        <v>166852.05799373041</v>
      </c>
      <c r="K208" s="173">
        <f>1604488/638*69</f>
        <v>173526.13166144199</v>
      </c>
      <c r="L208" s="173">
        <f>1668667/638*69</f>
        <v>180467.12068965519</v>
      </c>
      <c r="M208" s="172"/>
    </row>
    <row r="209" spans="1:14" ht="16.5" x14ac:dyDescent="0.25">
      <c r="A209" s="414" t="s">
        <v>180</v>
      </c>
      <c r="B209" s="415"/>
      <c r="C209" s="415"/>
      <c r="D209" s="415"/>
      <c r="E209" s="415"/>
      <c r="F209" s="415"/>
      <c r="G209" s="415"/>
      <c r="H209" s="415"/>
      <c r="I209" s="416"/>
      <c r="J209" s="173">
        <v>25193.25</v>
      </c>
      <c r="K209" s="173">
        <v>25193.25</v>
      </c>
      <c r="L209" s="173">
        <v>25193.25</v>
      </c>
      <c r="M209" s="172"/>
    </row>
    <row r="210" spans="1:14" ht="16.5" x14ac:dyDescent="0.25">
      <c r="A210" s="414" t="s">
        <v>181</v>
      </c>
      <c r="B210" s="415"/>
      <c r="C210" s="415"/>
      <c r="D210" s="415"/>
      <c r="E210" s="415"/>
      <c r="F210" s="415"/>
      <c r="G210" s="415"/>
      <c r="H210" s="415"/>
      <c r="I210" s="416"/>
      <c r="J210" s="213"/>
      <c r="K210" s="173"/>
      <c r="L210" s="173"/>
      <c r="M210" s="172"/>
    </row>
    <row r="211" spans="1:14" ht="16.5" x14ac:dyDescent="0.25">
      <c r="A211" s="513" t="s">
        <v>295</v>
      </c>
      <c r="B211" s="514"/>
      <c r="C211" s="514"/>
      <c r="D211" s="514"/>
      <c r="E211" s="514"/>
      <c r="F211" s="514"/>
      <c r="G211" s="514"/>
      <c r="H211" s="514"/>
      <c r="I211" s="515"/>
      <c r="J211" s="173">
        <v>84257.04</v>
      </c>
      <c r="K211" s="173">
        <v>84257.04</v>
      </c>
      <c r="L211" s="173">
        <v>84257.04</v>
      </c>
      <c r="M211" s="172"/>
    </row>
    <row r="212" spans="1:14" ht="16.5" x14ac:dyDescent="0.25">
      <c r="A212" s="510" t="s">
        <v>300</v>
      </c>
      <c r="B212" s="511"/>
      <c r="C212" s="511"/>
      <c r="D212" s="511"/>
      <c r="E212" s="511"/>
      <c r="F212" s="511"/>
      <c r="G212" s="511"/>
      <c r="H212" s="511"/>
      <c r="I212" s="512"/>
      <c r="J212" s="200">
        <f>403146.28+641867.2+132141.88-J205</f>
        <v>735024.70890282118</v>
      </c>
      <c r="K212" s="200">
        <f>403146.28+641867.2+132141.88-K205</f>
        <v>717339.50059561117</v>
      </c>
      <c r="L212" s="200">
        <f>403146.28+641867.2+132141.89-L205</f>
        <v>698946.91169279011</v>
      </c>
      <c r="M212" s="172"/>
    </row>
    <row r="213" spans="1:14" ht="16.5" x14ac:dyDescent="0.25">
      <c r="A213" s="452" t="s">
        <v>183</v>
      </c>
      <c r="B213" s="453"/>
      <c r="C213" s="453"/>
      <c r="D213" s="453"/>
      <c r="E213" s="453"/>
      <c r="F213" s="453"/>
      <c r="G213" s="453"/>
      <c r="H213" s="453"/>
      <c r="I213" s="454"/>
      <c r="J213" s="247">
        <f>J199+J203</f>
        <v>4771734.08</v>
      </c>
      <c r="K213" s="247">
        <f t="shared" ref="K213:L213" si="34">K199+K203</f>
        <v>4787804.72</v>
      </c>
      <c r="L213" s="247">
        <f t="shared" si="34"/>
        <v>4773703.58</v>
      </c>
      <c r="M213" s="175"/>
    </row>
    <row r="214" spans="1:14" ht="16.5" x14ac:dyDescent="0.25">
      <c r="A214" s="414" t="s">
        <v>355</v>
      </c>
      <c r="B214" s="415"/>
      <c r="C214" s="415"/>
      <c r="D214" s="415"/>
      <c r="E214" s="415"/>
      <c r="F214" s="415"/>
      <c r="G214" s="415"/>
      <c r="H214" s="415"/>
      <c r="I214" s="416"/>
      <c r="J214" s="200">
        <f>J213/H215</f>
        <v>69155.566376811592</v>
      </c>
      <c r="K214" s="200">
        <f>K213/H215</f>
        <v>69388.474202898549</v>
      </c>
      <c r="L214" s="200">
        <f>L213/H215</f>
        <v>69184.109855072471</v>
      </c>
      <c r="M214" s="167"/>
    </row>
    <row r="215" spans="1:14" ht="16.5" x14ac:dyDescent="0.25">
      <c r="A215" s="232"/>
      <c r="B215" s="232"/>
      <c r="C215" s="232"/>
      <c r="D215" s="232"/>
      <c r="E215" s="232"/>
      <c r="F215" s="232"/>
      <c r="G215" s="232"/>
      <c r="H215" s="232">
        <v>69</v>
      </c>
      <c r="I215" s="232"/>
      <c r="J215" s="232"/>
      <c r="K215" s="232"/>
      <c r="L215" s="232"/>
      <c r="M215" s="232"/>
    </row>
    <row r="217" spans="1:14" ht="16.5" x14ac:dyDescent="0.25">
      <c r="A217" s="169"/>
      <c r="B217" s="169"/>
      <c r="C217" s="169"/>
      <c r="D217" s="169"/>
      <c r="E217" s="169"/>
      <c r="F217" s="169"/>
      <c r="G217" s="169"/>
      <c r="H217" s="169"/>
      <c r="I217" s="169"/>
      <c r="J217" s="211"/>
      <c r="K217" s="169" t="s">
        <v>382</v>
      </c>
      <c r="L217" s="169"/>
      <c r="M217" s="169"/>
    </row>
    <row r="218" spans="1:14" ht="16.5" x14ac:dyDescent="0.25">
      <c r="A218" s="468" t="s">
        <v>395</v>
      </c>
      <c r="B218" s="468"/>
      <c r="C218" s="468"/>
      <c r="D218" s="468"/>
      <c r="E218" s="468"/>
      <c r="F218" s="468"/>
      <c r="G218" s="468"/>
      <c r="H218" s="468"/>
      <c r="I218" s="468"/>
      <c r="J218" s="468"/>
      <c r="K218" s="468"/>
      <c r="L218" s="468"/>
      <c r="M218" s="468"/>
    </row>
    <row r="219" spans="1:14" ht="30" customHeight="1" x14ac:dyDescent="0.25">
      <c r="A219" s="469" t="s">
        <v>390</v>
      </c>
      <c r="B219" s="470"/>
      <c r="C219" s="470"/>
      <c r="D219" s="470"/>
      <c r="E219" s="470"/>
      <c r="F219" s="470"/>
      <c r="G219" s="470"/>
      <c r="H219" s="470"/>
      <c r="I219" s="471"/>
      <c r="J219" s="164" t="s">
        <v>393</v>
      </c>
      <c r="K219" s="246">
        <v>2024</v>
      </c>
      <c r="L219" s="246">
        <v>2025</v>
      </c>
      <c r="M219" s="164"/>
    </row>
    <row r="220" spans="1:14" ht="16.5" x14ac:dyDescent="0.25">
      <c r="A220" s="455" t="s">
        <v>170</v>
      </c>
      <c r="B220" s="456"/>
      <c r="C220" s="456"/>
      <c r="D220" s="456"/>
      <c r="E220" s="456"/>
      <c r="F220" s="456"/>
      <c r="G220" s="456"/>
      <c r="H220" s="456"/>
      <c r="I220" s="457"/>
      <c r="J220" s="205">
        <f>SUM(J221:J223)</f>
        <v>3791826.5326999999</v>
      </c>
      <c r="K220" s="205">
        <f t="shared" ref="K220:L220" si="35">SUM(K221:K223)</f>
        <v>3804049.2726999996</v>
      </c>
      <c r="L220" s="205">
        <f t="shared" si="35"/>
        <v>3793324.4526999998</v>
      </c>
      <c r="M220" s="204"/>
      <c r="N220" s="31"/>
    </row>
    <row r="221" spans="1:14" ht="16.5" x14ac:dyDescent="0.25">
      <c r="A221" s="510" t="s">
        <v>178</v>
      </c>
      <c r="B221" s="511"/>
      <c r="C221" s="511"/>
      <c r="D221" s="511"/>
      <c r="E221" s="511"/>
      <c r="F221" s="511"/>
      <c r="G221" s="511"/>
      <c r="H221" s="511"/>
      <c r="I221" s="512"/>
      <c r="J221" s="173">
        <f>5110672.83*69%</f>
        <v>3526364.2526999996</v>
      </c>
      <c r="K221" s="173">
        <f>5110672.83*69%</f>
        <v>3526364.2526999996</v>
      </c>
      <c r="L221" s="173">
        <f>5110672.83*69%</f>
        <v>3526364.2526999996</v>
      </c>
      <c r="M221" s="172"/>
    </row>
    <row r="222" spans="1:14" ht="16.5" x14ac:dyDescent="0.25">
      <c r="A222" s="510" t="s">
        <v>297</v>
      </c>
      <c r="B222" s="511"/>
      <c r="C222" s="511"/>
      <c r="D222" s="511"/>
      <c r="E222" s="511"/>
      <c r="F222" s="511"/>
      <c r="G222" s="511"/>
      <c r="H222" s="511"/>
      <c r="I222" s="512"/>
      <c r="J222" s="173">
        <f>64372+91603.31</f>
        <v>155975.31</v>
      </c>
      <c r="K222" s="173">
        <f>70745.57+97452.48</f>
        <v>168198.05</v>
      </c>
      <c r="L222" s="173">
        <f>70745.57+86727.66</f>
        <v>157473.23000000001</v>
      </c>
      <c r="M222" s="172"/>
    </row>
    <row r="223" spans="1:14" ht="16.5" x14ac:dyDescent="0.25">
      <c r="A223" s="414" t="s">
        <v>175</v>
      </c>
      <c r="B223" s="415"/>
      <c r="C223" s="415"/>
      <c r="D223" s="415"/>
      <c r="E223" s="415"/>
      <c r="F223" s="415"/>
      <c r="G223" s="415"/>
      <c r="H223" s="415"/>
      <c r="I223" s="416"/>
      <c r="J223" s="173">
        <v>109486.97</v>
      </c>
      <c r="K223" s="173">
        <v>109486.97</v>
      </c>
      <c r="L223" s="173">
        <v>109486.97</v>
      </c>
      <c r="M223" s="172"/>
    </row>
    <row r="224" spans="1:14" ht="16.5" x14ac:dyDescent="0.25">
      <c r="A224" s="519" t="s">
        <v>177</v>
      </c>
      <c r="B224" s="520"/>
      <c r="C224" s="520"/>
      <c r="D224" s="520"/>
      <c r="E224" s="520"/>
      <c r="F224" s="520"/>
      <c r="G224" s="520"/>
      <c r="H224" s="520"/>
      <c r="I224" s="521"/>
      <c r="J224" s="205">
        <f>J225+J226+J230+J232+J233</f>
        <v>2562853.7273000004</v>
      </c>
      <c r="K224" s="205">
        <f t="shared" ref="K224:L224" si="36">K225+K226+K230+K232+K233</f>
        <v>2562853.7173000006</v>
      </c>
      <c r="L224" s="205">
        <f t="shared" si="36"/>
        <v>2562853.7273000004</v>
      </c>
      <c r="M224" s="204"/>
    </row>
    <row r="225" spans="1:14" ht="16.5" x14ac:dyDescent="0.25">
      <c r="A225" s="510" t="s">
        <v>179</v>
      </c>
      <c r="B225" s="511"/>
      <c r="C225" s="511"/>
      <c r="D225" s="511"/>
      <c r="E225" s="511"/>
      <c r="F225" s="511"/>
      <c r="G225" s="511"/>
      <c r="H225" s="511"/>
      <c r="I225" s="512"/>
      <c r="J225" s="173">
        <f>5110672.83-J221</f>
        <v>1584308.5773000005</v>
      </c>
      <c r="K225" s="173">
        <f>5110672.83-K221</f>
        <v>1584308.5773000005</v>
      </c>
      <c r="L225" s="173">
        <f>5110672.83-L221</f>
        <v>1584308.5773000005</v>
      </c>
      <c r="M225" s="172"/>
    </row>
    <row r="226" spans="1:14" ht="16.5" x14ac:dyDescent="0.25">
      <c r="A226" s="414" t="s">
        <v>171</v>
      </c>
      <c r="B226" s="415"/>
      <c r="C226" s="415"/>
      <c r="D226" s="415"/>
      <c r="E226" s="415"/>
      <c r="F226" s="415"/>
      <c r="G226" s="415"/>
      <c r="H226" s="415"/>
      <c r="I226" s="416"/>
      <c r="J226" s="173">
        <f>SUM(J227:J229)</f>
        <v>64076.905956112852</v>
      </c>
      <c r="K226" s="173">
        <f t="shared" ref="K226:L226" si="37">SUM(K227:K229)</f>
        <v>66639.97962382446</v>
      </c>
      <c r="L226" s="173">
        <f t="shared" si="37"/>
        <v>69305.573667711607</v>
      </c>
      <c r="M226" s="172"/>
    </row>
    <row r="227" spans="1:14" ht="16.5" x14ac:dyDescent="0.25">
      <c r="A227" s="414" t="s">
        <v>172</v>
      </c>
      <c r="B227" s="415"/>
      <c r="C227" s="415"/>
      <c r="D227" s="415"/>
      <c r="E227" s="415"/>
      <c r="F227" s="415"/>
      <c r="G227" s="415"/>
      <c r="H227" s="415"/>
      <c r="I227" s="416"/>
      <c r="J227" s="173">
        <f>1063234/638*0.9*10</f>
        <v>14998.598746081505</v>
      </c>
      <c r="K227" s="173">
        <f>1105763/638*0.9*10</f>
        <v>15598.537617554859</v>
      </c>
      <c r="L227" s="173">
        <f>1149994/638*0.9*10</f>
        <v>16222.485893416928</v>
      </c>
      <c r="M227" s="172"/>
    </row>
    <row r="228" spans="1:14" ht="16.5" x14ac:dyDescent="0.25">
      <c r="A228" s="414" t="s">
        <v>173</v>
      </c>
      <c r="B228" s="415"/>
      <c r="C228" s="415"/>
      <c r="D228" s="415"/>
      <c r="E228" s="415"/>
      <c r="F228" s="415"/>
      <c r="G228" s="415"/>
      <c r="H228" s="415"/>
      <c r="I228" s="416"/>
      <c r="J228" s="173">
        <f>3176838/638*0.5*10</f>
        <v>24896.849529780564</v>
      </c>
      <c r="K228" s="173">
        <f>3303912/638*0.5*10</f>
        <v>25892.727272727276</v>
      </c>
      <c r="L228" s="173">
        <f>3436068/638*0.5*10</f>
        <v>26928.432601880879</v>
      </c>
      <c r="M228" s="172"/>
    </row>
    <row r="229" spans="1:14" ht="16.5" x14ac:dyDescent="0.25">
      <c r="A229" s="414" t="s">
        <v>174</v>
      </c>
      <c r="B229" s="415"/>
      <c r="C229" s="415"/>
      <c r="D229" s="415"/>
      <c r="E229" s="415"/>
      <c r="F229" s="415"/>
      <c r="G229" s="415"/>
      <c r="H229" s="415"/>
      <c r="I229" s="416"/>
      <c r="J229" s="173">
        <f>1542777/638*10</f>
        <v>24181.457680250784</v>
      </c>
      <c r="K229" s="173">
        <f>1604488/638*10</f>
        <v>25148.714733542321</v>
      </c>
      <c r="L229" s="173">
        <f>1668667/638*10</f>
        <v>26154.655172413797</v>
      </c>
      <c r="M229" s="172"/>
    </row>
    <row r="230" spans="1:14" ht="16.5" x14ac:dyDescent="0.25">
      <c r="A230" s="414" t="s">
        <v>180</v>
      </c>
      <c r="B230" s="415"/>
      <c r="C230" s="415"/>
      <c r="D230" s="415"/>
      <c r="E230" s="415"/>
      <c r="F230" s="415"/>
      <c r="G230" s="415"/>
      <c r="H230" s="415"/>
      <c r="I230" s="416"/>
      <c r="J230" s="173">
        <v>19161.060000000001</v>
      </c>
      <c r="K230" s="173">
        <v>19161.060000000001</v>
      </c>
      <c r="L230" s="173">
        <v>19161.060000000001</v>
      </c>
      <c r="M230" s="172"/>
    </row>
    <row r="231" spans="1:14" ht="16.5" x14ac:dyDescent="0.25">
      <c r="A231" s="414" t="s">
        <v>181</v>
      </c>
      <c r="B231" s="415"/>
      <c r="C231" s="415"/>
      <c r="D231" s="415"/>
      <c r="E231" s="415"/>
      <c r="F231" s="415"/>
      <c r="G231" s="415"/>
      <c r="H231" s="415"/>
      <c r="I231" s="416"/>
      <c r="J231" s="213"/>
      <c r="K231" s="173"/>
      <c r="L231" s="173"/>
      <c r="M231" s="172"/>
    </row>
    <row r="232" spans="1:14" ht="16.5" x14ac:dyDescent="0.25">
      <c r="A232" s="513" t="s">
        <v>295</v>
      </c>
      <c r="B232" s="514"/>
      <c r="C232" s="514"/>
      <c r="D232" s="514"/>
      <c r="E232" s="514"/>
      <c r="F232" s="514"/>
      <c r="G232" s="514"/>
      <c r="H232" s="514"/>
      <c r="I232" s="515"/>
      <c r="J232" s="173">
        <v>64082.82</v>
      </c>
      <c r="K232" s="173">
        <v>64082.82</v>
      </c>
      <c r="L232" s="173">
        <v>64082.82</v>
      </c>
      <c r="M232" s="172"/>
    </row>
    <row r="233" spans="1:14" ht="16.5" x14ac:dyDescent="0.25">
      <c r="A233" s="510" t="s">
        <v>300</v>
      </c>
      <c r="B233" s="511"/>
      <c r="C233" s="511"/>
      <c r="D233" s="511"/>
      <c r="E233" s="511"/>
      <c r="F233" s="511"/>
      <c r="G233" s="511"/>
      <c r="H233" s="511"/>
      <c r="I233" s="512"/>
      <c r="J233" s="200">
        <f>306618.3+488180.69+100502.28-J226</f>
        <v>831224.36404388712</v>
      </c>
      <c r="K233" s="200">
        <f>306618.3+488180.69+100502.27-K226</f>
        <v>828661.28037617553</v>
      </c>
      <c r="L233" s="200">
        <f>306618.3+488180.69+100502.28-L226</f>
        <v>825995.69633228844</v>
      </c>
      <c r="M233" s="172"/>
    </row>
    <row r="234" spans="1:14" ht="16.5" x14ac:dyDescent="0.25">
      <c r="A234" s="452" t="s">
        <v>183</v>
      </c>
      <c r="B234" s="453"/>
      <c r="C234" s="453"/>
      <c r="D234" s="453"/>
      <c r="E234" s="453"/>
      <c r="F234" s="453"/>
      <c r="G234" s="453"/>
      <c r="H234" s="453"/>
      <c r="I234" s="454"/>
      <c r="J234" s="247">
        <f>J220+J224</f>
        <v>6354680.2599999998</v>
      </c>
      <c r="K234" s="247">
        <f t="shared" ref="K234:L234" si="38">K220+K224</f>
        <v>6366902.9900000002</v>
      </c>
      <c r="L234" s="247">
        <f t="shared" si="38"/>
        <v>6356178.1799999997</v>
      </c>
      <c r="M234" s="175"/>
    </row>
    <row r="235" spans="1:14" ht="16.5" x14ac:dyDescent="0.25">
      <c r="A235" s="414" t="s">
        <v>355</v>
      </c>
      <c r="B235" s="415"/>
      <c r="C235" s="415"/>
      <c r="D235" s="415"/>
      <c r="E235" s="415"/>
      <c r="F235" s="415"/>
      <c r="G235" s="415"/>
      <c r="H235" s="415"/>
      <c r="I235" s="416"/>
      <c r="J235" s="200">
        <f>J234/H236</f>
        <v>635468.02599999995</v>
      </c>
      <c r="K235" s="200">
        <f>K234/H236</f>
        <v>636690.299</v>
      </c>
      <c r="L235" s="200">
        <f>L234/H236</f>
        <v>635617.81799999997</v>
      </c>
      <c r="M235" s="167"/>
    </row>
    <row r="236" spans="1:14" ht="16.5" x14ac:dyDescent="0.25">
      <c r="A236" s="232"/>
      <c r="B236" s="232"/>
      <c r="C236" s="232"/>
      <c r="D236" s="232"/>
      <c r="E236" s="232"/>
      <c r="F236" s="232"/>
      <c r="G236" s="232"/>
      <c r="H236" s="232">
        <v>10</v>
      </c>
      <c r="I236" s="232"/>
      <c r="J236" s="232"/>
      <c r="K236" s="232"/>
      <c r="L236" s="232"/>
      <c r="M236" s="232"/>
    </row>
    <row r="238" spans="1:14" ht="16.5" x14ac:dyDescent="0.25">
      <c r="A238" s="169"/>
      <c r="B238" s="169"/>
      <c r="C238" s="169"/>
      <c r="D238" s="169"/>
      <c r="E238" s="169"/>
      <c r="F238" s="169"/>
      <c r="G238" s="169"/>
      <c r="H238" s="169"/>
      <c r="I238" s="169"/>
      <c r="J238" s="211"/>
      <c r="K238" s="169" t="s">
        <v>383</v>
      </c>
      <c r="L238" s="169"/>
      <c r="M238" s="169"/>
    </row>
    <row r="239" spans="1:14" ht="16.5" x14ac:dyDescent="0.25">
      <c r="A239" s="468" t="s">
        <v>365</v>
      </c>
      <c r="B239" s="468"/>
      <c r="C239" s="468"/>
      <c r="D239" s="468"/>
      <c r="E239" s="468"/>
      <c r="F239" s="468"/>
      <c r="G239" s="468"/>
      <c r="H239" s="468"/>
      <c r="I239" s="468"/>
      <c r="J239" s="468"/>
      <c r="K239" s="468"/>
      <c r="L239" s="468"/>
      <c r="M239" s="468"/>
    </row>
    <row r="240" spans="1:14" ht="32.25" customHeight="1" x14ac:dyDescent="0.25">
      <c r="A240" s="469" t="s">
        <v>390</v>
      </c>
      <c r="B240" s="470"/>
      <c r="C240" s="470"/>
      <c r="D240" s="470"/>
      <c r="E240" s="470"/>
      <c r="F240" s="470"/>
      <c r="G240" s="470"/>
      <c r="H240" s="470"/>
      <c r="I240" s="471"/>
      <c r="J240" s="164" t="s">
        <v>394</v>
      </c>
      <c r="K240" s="246">
        <v>2024</v>
      </c>
      <c r="L240" s="246">
        <v>2025</v>
      </c>
      <c r="M240" s="164"/>
      <c r="N240" s="31"/>
    </row>
    <row r="241" spans="1:13" ht="16.5" x14ac:dyDescent="0.25">
      <c r="A241" s="455" t="s">
        <v>170</v>
      </c>
      <c r="B241" s="456"/>
      <c r="C241" s="456"/>
      <c r="D241" s="456"/>
      <c r="E241" s="456"/>
      <c r="F241" s="456"/>
      <c r="G241" s="456"/>
      <c r="H241" s="456"/>
      <c r="I241" s="457"/>
      <c r="J241" s="205">
        <f>SUM(J242:J244)</f>
        <v>2640305.7453999999</v>
      </c>
      <c r="K241" s="205">
        <f t="shared" ref="K241:L241" si="39">SUM(K242:K244)</f>
        <v>2651170.3854</v>
      </c>
      <c r="L241" s="205">
        <f t="shared" si="39"/>
        <v>2641637.2253999999</v>
      </c>
      <c r="M241" s="204"/>
    </row>
    <row r="242" spans="1:13" ht="16.5" x14ac:dyDescent="0.25">
      <c r="A242" s="510" t="s">
        <v>178</v>
      </c>
      <c r="B242" s="511"/>
      <c r="C242" s="511"/>
      <c r="D242" s="511"/>
      <c r="E242" s="511"/>
      <c r="F242" s="511"/>
      <c r="G242" s="511"/>
      <c r="H242" s="511"/>
      <c r="I242" s="512"/>
      <c r="J242" s="173">
        <f>3484549.66*69%</f>
        <v>2404339.2653999999</v>
      </c>
      <c r="K242" s="173">
        <f>3484549.66*69%</f>
        <v>2404339.2653999999</v>
      </c>
      <c r="L242" s="173">
        <f>3484549.66*69%</f>
        <v>2404339.2653999999</v>
      </c>
      <c r="M242" s="172"/>
    </row>
    <row r="243" spans="1:13" ht="16.5" x14ac:dyDescent="0.25">
      <c r="A243" s="510" t="s">
        <v>297</v>
      </c>
      <c r="B243" s="511"/>
      <c r="C243" s="511"/>
      <c r="D243" s="511"/>
      <c r="E243" s="511"/>
      <c r="F243" s="511"/>
      <c r="G243" s="511"/>
      <c r="H243" s="511"/>
      <c r="I243" s="512"/>
      <c r="J243" s="173">
        <f>57219.56+81425.17</f>
        <v>138644.72999999998</v>
      </c>
      <c r="K243" s="173">
        <f>62884.95+86624.42</f>
        <v>149509.37</v>
      </c>
      <c r="L243" s="173">
        <f>62884.95+77091.26</f>
        <v>139976.21</v>
      </c>
      <c r="M243" s="172"/>
    </row>
    <row r="244" spans="1:13" ht="16.5" x14ac:dyDescent="0.25">
      <c r="A244" s="414" t="s">
        <v>175</v>
      </c>
      <c r="B244" s="415"/>
      <c r="C244" s="415"/>
      <c r="D244" s="415"/>
      <c r="E244" s="415"/>
      <c r="F244" s="415"/>
      <c r="G244" s="415"/>
      <c r="H244" s="415"/>
      <c r="I244" s="416"/>
      <c r="J244" s="173">
        <v>97321.75</v>
      </c>
      <c r="K244" s="173">
        <v>97321.75</v>
      </c>
      <c r="L244" s="173">
        <v>97321.75</v>
      </c>
      <c r="M244" s="172"/>
    </row>
    <row r="245" spans="1:13" ht="16.5" x14ac:dyDescent="0.25">
      <c r="A245" s="519" t="s">
        <v>177</v>
      </c>
      <c r="B245" s="520"/>
      <c r="C245" s="520"/>
      <c r="D245" s="520"/>
      <c r="E245" s="520"/>
      <c r="F245" s="520"/>
      <c r="G245" s="520"/>
      <c r="H245" s="520"/>
      <c r="I245" s="521"/>
      <c r="J245" s="205">
        <f>J246+J247+J251+J253+J254</f>
        <v>1950028.2846000001</v>
      </c>
      <c r="K245" s="205">
        <f t="shared" ref="K245:L245" si="40">K246+K247+K251+K253+K254</f>
        <v>1950028.3046000004</v>
      </c>
      <c r="L245" s="205">
        <f t="shared" si="40"/>
        <v>1950028.2946000001</v>
      </c>
      <c r="M245" s="204"/>
    </row>
    <row r="246" spans="1:13" ht="16.5" x14ac:dyDescent="0.25">
      <c r="A246" s="510" t="s">
        <v>179</v>
      </c>
      <c r="B246" s="511"/>
      <c r="C246" s="511"/>
      <c r="D246" s="511"/>
      <c r="E246" s="511"/>
      <c r="F246" s="511"/>
      <c r="G246" s="511"/>
      <c r="H246" s="511"/>
      <c r="I246" s="512"/>
      <c r="J246" s="173">
        <f>3484549.66-J242</f>
        <v>1080210.3946000002</v>
      </c>
      <c r="K246" s="173">
        <f>3484549.66-K242</f>
        <v>1080210.3946000002</v>
      </c>
      <c r="L246" s="173">
        <f>3484549.66-L242</f>
        <v>1080210.3946000002</v>
      </c>
      <c r="M246" s="172"/>
    </row>
    <row r="247" spans="1:13" ht="16.5" x14ac:dyDescent="0.25">
      <c r="A247" s="414" t="s">
        <v>171</v>
      </c>
      <c r="B247" s="415"/>
      <c r="C247" s="415"/>
      <c r="D247" s="415"/>
      <c r="E247" s="415"/>
      <c r="F247" s="415"/>
      <c r="G247" s="415"/>
      <c r="H247" s="415"/>
      <c r="I247" s="416"/>
      <c r="J247" s="173">
        <f>SUM(J248:J250)</f>
        <v>179415.33667711599</v>
      </c>
      <c r="K247" s="173">
        <f t="shared" ref="K247:L247" si="41">SUM(K248:K250)</f>
        <v>186591.94294670847</v>
      </c>
      <c r="L247" s="173">
        <f t="shared" si="41"/>
        <v>194055.60626959248</v>
      </c>
      <c r="M247" s="172"/>
    </row>
    <row r="248" spans="1:13" ht="16.5" x14ac:dyDescent="0.25">
      <c r="A248" s="414" t="s">
        <v>172</v>
      </c>
      <c r="B248" s="415"/>
      <c r="C248" s="415"/>
      <c r="D248" s="415"/>
      <c r="E248" s="415"/>
      <c r="F248" s="415"/>
      <c r="G248" s="415"/>
      <c r="H248" s="415"/>
      <c r="I248" s="416"/>
      <c r="J248" s="173">
        <f>1063234/638*0.9*28</f>
        <v>41996.076489028215</v>
      </c>
      <c r="K248" s="173">
        <f>1105763/638*0.9*28</f>
        <v>43675.905329153604</v>
      </c>
      <c r="L248" s="173">
        <f>1149994/638*0.9*28</f>
        <v>45422.960501567402</v>
      </c>
      <c r="M248" s="172"/>
    </row>
    <row r="249" spans="1:13" ht="16.5" x14ac:dyDescent="0.25">
      <c r="A249" s="414" t="s">
        <v>173</v>
      </c>
      <c r="B249" s="415"/>
      <c r="C249" s="415"/>
      <c r="D249" s="415"/>
      <c r="E249" s="415"/>
      <c r="F249" s="415"/>
      <c r="G249" s="415"/>
      <c r="H249" s="415"/>
      <c r="I249" s="416"/>
      <c r="J249" s="173">
        <f>3176838/638*0.5*28</f>
        <v>69711.178683385588</v>
      </c>
      <c r="K249" s="173">
        <f>3303912/638*0.5*28</f>
        <v>72499.636363636368</v>
      </c>
      <c r="L249" s="173">
        <f>3436068/638*0.5*28</f>
        <v>75399.611285266452</v>
      </c>
      <c r="M249" s="172"/>
    </row>
    <row r="250" spans="1:13" ht="16.5" x14ac:dyDescent="0.25">
      <c r="A250" s="414" t="s">
        <v>174</v>
      </c>
      <c r="B250" s="415"/>
      <c r="C250" s="415"/>
      <c r="D250" s="415"/>
      <c r="E250" s="415"/>
      <c r="F250" s="415"/>
      <c r="G250" s="415"/>
      <c r="H250" s="415"/>
      <c r="I250" s="416"/>
      <c r="J250" s="173">
        <f>1542777/638*28</f>
        <v>67708.08150470219</v>
      </c>
      <c r="K250" s="173">
        <f>1604488/638*28</f>
        <v>70416.401253918491</v>
      </c>
      <c r="L250" s="173">
        <f>1668667/638*28</f>
        <v>73233.034482758623</v>
      </c>
      <c r="M250" s="172"/>
    </row>
    <row r="251" spans="1:13" ht="16.5" x14ac:dyDescent="0.25">
      <c r="A251" s="414" t="s">
        <v>180</v>
      </c>
      <c r="B251" s="415"/>
      <c r="C251" s="415"/>
      <c r="D251" s="415"/>
      <c r="E251" s="415"/>
      <c r="F251" s="415"/>
      <c r="G251" s="415"/>
      <c r="H251" s="415"/>
      <c r="I251" s="416"/>
      <c r="J251" s="173">
        <v>17032.05</v>
      </c>
      <c r="K251" s="173">
        <v>17032.05</v>
      </c>
      <c r="L251" s="173">
        <v>17032.05</v>
      </c>
      <c r="M251" s="172"/>
    </row>
    <row r="252" spans="1:13" ht="16.5" x14ac:dyDescent="0.25">
      <c r="A252" s="414" t="s">
        <v>181</v>
      </c>
      <c r="B252" s="415"/>
      <c r="C252" s="415"/>
      <c r="D252" s="415"/>
      <c r="E252" s="415"/>
      <c r="F252" s="415"/>
      <c r="G252" s="415"/>
      <c r="H252" s="415"/>
      <c r="I252" s="416"/>
      <c r="J252" s="213"/>
      <c r="K252" s="173"/>
      <c r="L252" s="173"/>
      <c r="M252" s="172"/>
    </row>
    <row r="253" spans="1:13" ht="16.5" x14ac:dyDescent="0.25">
      <c r="A253" s="513" t="s">
        <v>295</v>
      </c>
      <c r="B253" s="514"/>
      <c r="C253" s="514"/>
      <c r="D253" s="514"/>
      <c r="E253" s="514"/>
      <c r="F253" s="514"/>
      <c r="G253" s="514"/>
      <c r="H253" s="514"/>
      <c r="I253" s="515"/>
      <c r="J253" s="173">
        <v>56962.51</v>
      </c>
      <c r="K253" s="173">
        <v>56962.51</v>
      </c>
      <c r="L253" s="173">
        <v>56962.51</v>
      </c>
      <c r="M253" s="172"/>
    </row>
    <row r="254" spans="1:13" ht="16.5" x14ac:dyDescent="0.25">
      <c r="A254" s="510" t="s">
        <v>300</v>
      </c>
      <c r="B254" s="511"/>
      <c r="C254" s="511"/>
      <c r="D254" s="511"/>
      <c r="E254" s="511"/>
      <c r="F254" s="511"/>
      <c r="G254" s="511"/>
      <c r="H254" s="511"/>
      <c r="I254" s="512"/>
      <c r="J254" s="200">
        <f>272549.6+433938.39+89335.34-J247</f>
        <v>616407.99332288397</v>
      </c>
      <c r="K254" s="200">
        <f>272549.6+433938.39+89335.36-K247</f>
        <v>609231.40705329156</v>
      </c>
      <c r="L254" s="200">
        <f>272549.6+433938.39+89335.35-L247</f>
        <v>601767.73373040743</v>
      </c>
      <c r="M254" s="172"/>
    </row>
    <row r="255" spans="1:13" ht="16.5" x14ac:dyDescent="0.25">
      <c r="A255" s="452" t="s">
        <v>183</v>
      </c>
      <c r="B255" s="453"/>
      <c r="C255" s="453"/>
      <c r="D255" s="453"/>
      <c r="E255" s="453"/>
      <c r="F255" s="453"/>
      <c r="G255" s="453"/>
      <c r="H255" s="453"/>
      <c r="I255" s="454"/>
      <c r="J255" s="247">
        <f>J241+J245</f>
        <v>4590334.03</v>
      </c>
      <c r="K255" s="247">
        <f t="shared" ref="K255:L255" si="42">K241+K245</f>
        <v>4601198.6900000004</v>
      </c>
      <c r="L255" s="247">
        <f t="shared" si="42"/>
        <v>4591665.5199999996</v>
      </c>
      <c r="M255" s="175"/>
    </row>
    <row r="256" spans="1:13" ht="16.5" x14ac:dyDescent="0.25">
      <c r="A256" s="414" t="s">
        <v>355</v>
      </c>
      <c r="B256" s="415"/>
      <c r="C256" s="415"/>
      <c r="D256" s="415"/>
      <c r="E256" s="415"/>
      <c r="F256" s="415"/>
      <c r="G256" s="415"/>
      <c r="H256" s="415"/>
      <c r="I256" s="416"/>
      <c r="J256" s="253">
        <f>J255/H257</f>
        <v>163940.50107142859</v>
      </c>
      <c r="K256" s="253">
        <f>K255/H257</f>
        <v>164328.52464285717</v>
      </c>
      <c r="L256" s="253">
        <f>L255/H257</f>
        <v>163988.05428571426</v>
      </c>
      <c r="M256" s="167"/>
    </row>
    <row r="257" spans="1:14" ht="16.5" x14ac:dyDescent="0.25">
      <c r="A257" s="232"/>
      <c r="B257" s="232"/>
      <c r="C257" s="232"/>
      <c r="D257" s="232"/>
      <c r="E257" s="232"/>
      <c r="F257" s="232"/>
      <c r="G257" s="232"/>
      <c r="H257" s="232">
        <v>28</v>
      </c>
      <c r="I257" s="232"/>
      <c r="J257" s="232"/>
      <c r="K257" s="232"/>
      <c r="L257" s="232"/>
      <c r="M257" s="232"/>
    </row>
    <row r="259" spans="1:14" ht="16.5" x14ac:dyDescent="0.25">
      <c r="A259" s="169"/>
      <c r="B259" s="169"/>
      <c r="C259" s="169"/>
      <c r="D259" s="169"/>
      <c r="E259" s="169"/>
      <c r="F259" s="169"/>
      <c r="G259" s="169"/>
      <c r="H259" s="169"/>
      <c r="I259" s="169"/>
      <c r="J259" s="211"/>
      <c r="K259" s="169" t="s">
        <v>384</v>
      </c>
      <c r="L259" s="169"/>
      <c r="M259" s="169"/>
    </row>
    <row r="260" spans="1:14" ht="16.5" x14ac:dyDescent="0.25">
      <c r="A260" s="468" t="s">
        <v>366</v>
      </c>
      <c r="B260" s="468"/>
      <c r="C260" s="468"/>
      <c r="D260" s="468"/>
      <c r="E260" s="468"/>
      <c r="F260" s="468"/>
      <c r="G260" s="468"/>
      <c r="H260" s="468"/>
      <c r="I260" s="468"/>
      <c r="J260" s="468"/>
      <c r="K260" s="468"/>
      <c r="L260" s="468"/>
      <c r="M260" s="468"/>
    </row>
    <row r="261" spans="1:14" ht="33" customHeight="1" x14ac:dyDescent="0.25">
      <c r="A261" s="469" t="s">
        <v>390</v>
      </c>
      <c r="B261" s="470"/>
      <c r="C261" s="470"/>
      <c r="D261" s="470"/>
      <c r="E261" s="470"/>
      <c r="F261" s="470"/>
      <c r="G261" s="470"/>
      <c r="H261" s="470"/>
      <c r="I261" s="471"/>
      <c r="J261" s="164" t="s">
        <v>392</v>
      </c>
      <c r="K261" s="246">
        <v>2024</v>
      </c>
      <c r="L261" s="246">
        <v>2025</v>
      </c>
      <c r="M261" s="164"/>
    </row>
    <row r="262" spans="1:14" ht="16.5" x14ac:dyDescent="0.25">
      <c r="A262" s="455" t="s">
        <v>170</v>
      </c>
      <c r="B262" s="456"/>
      <c r="C262" s="456"/>
      <c r="D262" s="456"/>
      <c r="E262" s="456"/>
      <c r="F262" s="456"/>
      <c r="G262" s="456"/>
      <c r="H262" s="456"/>
      <c r="I262" s="457"/>
      <c r="J262" s="205">
        <f>SUM(J263:J265)</f>
        <v>7367350.4653999992</v>
      </c>
      <c r="K262" s="205">
        <f t="shared" ref="K262:L262" si="43">SUM(K263:K265)</f>
        <v>7381836.6753999991</v>
      </c>
      <c r="L262" s="205">
        <f t="shared" si="43"/>
        <v>7369125.7853999995</v>
      </c>
      <c r="M262" s="204"/>
    </row>
    <row r="263" spans="1:14" ht="16.5" x14ac:dyDescent="0.25">
      <c r="A263" s="510" t="s">
        <v>178</v>
      </c>
      <c r="B263" s="511"/>
      <c r="C263" s="511"/>
      <c r="D263" s="511"/>
      <c r="E263" s="511"/>
      <c r="F263" s="511"/>
      <c r="G263" s="511"/>
      <c r="H263" s="511"/>
      <c r="I263" s="512"/>
      <c r="J263" s="173">
        <f>10221345.66*69%</f>
        <v>7052728.5053999992</v>
      </c>
      <c r="K263" s="173">
        <f>10221345.66*69%</f>
        <v>7052728.5053999992</v>
      </c>
      <c r="L263" s="173">
        <f>10221345.66*69%</f>
        <v>7052728.5053999992</v>
      </c>
      <c r="M263" s="172"/>
      <c r="N263" s="31"/>
    </row>
    <row r="264" spans="1:14" ht="16.5" x14ac:dyDescent="0.25">
      <c r="A264" s="510" t="s">
        <v>297</v>
      </c>
      <c r="B264" s="511"/>
      <c r="C264" s="511"/>
      <c r="D264" s="511"/>
      <c r="E264" s="511"/>
      <c r="F264" s="511"/>
      <c r="G264" s="511"/>
      <c r="H264" s="511"/>
      <c r="I264" s="512"/>
      <c r="J264" s="173">
        <f>76292.74+108566.89</f>
        <v>184859.63</v>
      </c>
      <c r="K264" s="173">
        <f>83846.61+115499.23</f>
        <v>199345.84</v>
      </c>
      <c r="L264" s="173">
        <f>83846.61+102788.34</f>
        <v>186634.95</v>
      </c>
      <c r="M264" s="172"/>
    </row>
    <row r="265" spans="1:14" ht="16.5" x14ac:dyDescent="0.25">
      <c r="A265" s="414" t="s">
        <v>175</v>
      </c>
      <c r="B265" s="415"/>
      <c r="C265" s="415"/>
      <c r="D265" s="415"/>
      <c r="E265" s="415"/>
      <c r="F265" s="415"/>
      <c r="G265" s="415"/>
      <c r="H265" s="415"/>
      <c r="I265" s="416"/>
      <c r="J265" s="173">
        <v>129762.33</v>
      </c>
      <c r="K265" s="173">
        <v>129762.33</v>
      </c>
      <c r="L265" s="173">
        <v>129762.33</v>
      </c>
      <c r="M265" s="172"/>
    </row>
    <row r="266" spans="1:14" ht="16.5" x14ac:dyDescent="0.25">
      <c r="A266" s="519" t="s">
        <v>177</v>
      </c>
      <c r="B266" s="520"/>
      <c r="C266" s="520"/>
      <c r="D266" s="520"/>
      <c r="E266" s="520"/>
      <c r="F266" s="520"/>
      <c r="G266" s="520"/>
      <c r="H266" s="520"/>
      <c r="I266" s="521"/>
      <c r="J266" s="205">
        <f>J267+J268+J272+J274+J275</f>
        <v>4328374.3646000009</v>
      </c>
      <c r="K266" s="205">
        <f t="shared" ref="K266:L266" si="44">K267+K268+K272+K274+K275</f>
        <v>4328374.3646000009</v>
      </c>
      <c r="L266" s="205">
        <f t="shared" si="44"/>
        <v>4328374.3646000009</v>
      </c>
      <c r="M266" s="204"/>
    </row>
    <row r="267" spans="1:14" ht="16.5" x14ac:dyDescent="0.25">
      <c r="A267" s="510" t="s">
        <v>179</v>
      </c>
      <c r="B267" s="511"/>
      <c r="C267" s="511"/>
      <c r="D267" s="511"/>
      <c r="E267" s="511"/>
      <c r="F267" s="511"/>
      <c r="G267" s="511"/>
      <c r="H267" s="511"/>
      <c r="I267" s="512"/>
      <c r="J267" s="173">
        <f>10221345.66-J263</f>
        <v>3168617.1546000009</v>
      </c>
      <c r="K267" s="173">
        <f>10221345.66-K263</f>
        <v>3168617.1546000009</v>
      </c>
      <c r="L267" s="173">
        <f>10221345.66-L263</f>
        <v>3168617.1546000009</v>
      </c>
      <c r="M267" s="172"/>
    </row>
    <row r="268" spans="1:14" ht="16.5" x14ac:dyDescent="0.25">
      <c r="A268" s="414" t="s">
        <v>171</v>
      </c>
      <c r="B268" s="415"/>
      <c r="C268" s="415"/>
      <c r="D268" s="415"/>
      <c r="E268" s="415"/>
      <c r="F268" s="415"/>
      <c r="G268" s="415"/>
      <c r="H268" s="415"/>
      <c r="I268" s="416"/>
      <c r="J268" s="173">
        <f>SUM(J269:J271)</f>
        <v>429315.26990595611</v>
      </c>
      <c r="K268" s="173">
        <f t="shared" ref="K268:L268" si="45">SUM(K269:K271)</f>
        <v>446487.8634796238</v>
      </c>
      <c r="L268" s="173">
        <f t="shared" si="45"/>
        <v>464347.34357366769</v>
      </c>
      <c r="M268" s="172"/>
    </row>
    <row r="269" spans="1:14" ht="16.5" x14ac:dyDescent="0.25">
      <c r="A269" s="414" t="s">
        <v>172</v>
      </c>
      <c r="B269" s="415"/>
      <c r="C269" s="415"/>
      <c r="D269" s="415"/>
      <c r="E269" s="415"/>
      <c r="F269" s="415"/>
      <c r="G269" s="415"/>
      <c r="H269" s="415"/>
      <c r="I269" s="416"/>
      <c r="J269" s="173">
        <f>1063234/638*0.9*67</f>
        <v>100490.61159874608</v>
      </c>
      <c r="K269" s="173">
        <f>1105763/638*0.9*67</f>
        <v>104510.20203761756</v>
      </c>
      <c r="L269" s="173">
        <f>1149994/638*0.9*67</f>
        <v>108690.65548589343</v>
      </c>
      <c r="M269" s="172"/>
    </row>
    <row r="270" spans="1:14" ht="16.5" x14ac:dyDescent="0.25">
      <c r="A270" s="414" t="s">
        <v>173</v>
      </c>
      <c r="B270" s="415"/>
      <c r="C270" s="415"/>
      <c r="D270" s="415"/>
      <c r="E270" s="415"/>
      <c r="F270" s="415"/>
      <c r="G270" s="415"/>
      <c r="H270" s="415"/>
      <c r="I270" s="416"/>
      <c r="J270" s="173">
        <f>3176838/638*0.5*67</f>
        <v>166808.89184952978</v>
      </c>
      <c r="K270" s="173">
        <f>3303912/638*0.5*67</f>
        <v>173481.27272727274</v>
      </c>
      <c r="L270" s="173">
        <f>3436068/638*0.5*67</f>
        <v>180420.49843260189</v>
      </c>
      <c r="M270" s="172"/>
    </row>
    <row r="271" spans="1:14" ht="16.5" x14ac:dyDescent="0.25">
      <c r="A271" s="414" t="s">
        <v>174</v>
      </c>
      <c r="B271" s="415"/>
      <c r="C271" s="415"/>
      <c r="D271" s="415"/>
      <c r="E271" s="415"/>
      <c r="F271" s="415"/>
      <c r="G271" s="415"/>
      <c r="H271" s="415"/>
      <c r="I271" s="416"/>
      <c r="J271" s="173">
        <f>1542777/638*67</f>
        <v>162015.76645768023</v>
      </c>
      <c r="K271" s="173">
        <f>1604488/638*67</f>
        <v>168496.38871473353</v>
      </c>
      <c r="L271" s="173">
        <f>1668667/638*67</f>
        <v>175236.18965517243</v>
      </c>
      <c r="M271" s="172"/>
    </row>
    <row r="272" spans="1:14" ht="16.5" x14ac:dyDescent="0.25">
      <c r="A272" s="414" t="s">
        <v>180</v>
      </c>
      <c r="B272" s="415"/>
      <c r="C272" s="415"/>
      <c r="D272" s="415"/>
      <c r="E272" s="415"/>
      <c r="F272" s="415"/>
      <c r="G272" s="415"/>
      <c r="H272" s="415"/>
      <c r="I272" s="416"/>
      <c r="J272" s="173">
        <v>22709.4</v>
      </c>
      <c r="K272" s="173">
        <v>22709.4</v>
      </c>
      <c r="L272" s="173">
        <v>22709.4</v>
      </c>
      <c r="M272" s="172"/>
    </row>
    <row r="273" spans="1:14" ht="16.5" x14ac:dyDescent="0.25">
      <c r="A273" s="414" t="s">
        <v>181</v>
      </c>
      <c r="B273" s="415"/>
      <c r="C273" s="415"/>
      <c r="D273" s="415"/>
      <c r="E273" s="415"/>
      <c r="F273" s="415"/>
      <c r="G273" s="415"/>
      <c r="H273" s="415"/>
      <c r="I273" s="416"/>
      <c r="J273" s="213"/>
      <c r="K273" s="173"/>
      <c r="L273" s="173"/>
      <c r="M273" s="172"/>
    </row>
    <row r="274" spans="1:14" ht="16.5" x14ac:dyDescent="0.25">
      <c r="A274" s="513" t="s">
        <v>295</v>
      </c>
      <c r="B274" s="514"/>
      <c r="C274" s="514"/>
      <c r="D274" s="514"/>
      <c r="E274" s="514"/>
      <c r="F274" s="514"/>
      <c r="G274" s="514"/>
      <c r="H274" s="514"/>
      <c r="I274" s="515"/>
      <c r="J274" s="173">
        <v>75950.009999999995</v>
      </c>
      <c r="K274" s="173">
        <v>75950.009999999995</v>
      </c>
      <c r="L274" s="173">
        <v>75950.009999999995</v>
      </c>
      <c r="M274" s="172"/>
    </row>
    <row r="275" spans="1:14" ht="16.5" x14ac:dyDescent="0.25">
      <c r="A275" s="510" t="s">
        <v>300</v>
      </c>
      <c r="B275" s="511"/>
      <c r="C275" s="511"/>
      <c r="D275" s="511"/>
      <c r="E275" s="511"/>
      <c r="F275" s="511"/>
      <c r="G275" s="511"/>
      <c r="H275" s="511"/>
      <c r="I275" s="512"/>
      <c r="J275" s="200">
        <f>363399.47+578584.52+119113.81-J268</f>
        <v>631782.53009404393</v>
      </c>
      <c r="K275" s="200">
        <f>363399.47+578584.52+119113.81-K268</f>
        <v>614609.93652037624</v>
      </c>
      <c r="L275" s="200">
        <f>363399.47+578584.52+119113.81-L268</f>
        <v>596750.45642633236</v>
      </c>
      <c r="M275" s="172"/>
    </row>
    <row r="276" spans="1:14" ht="16.5" x14ac:dyDescent="0.25">
      <c r="A276" s="452" t="s">
        <v>183</v>
      </c>
      <c r="B276" s="453"/>
      <c r="C276" s="453"/>
      <c r="D276" s="453"/>
      <c r="E276" s="453"/>
      <c r="F276" s="453"/>
      <c r="G276" s="453"/>
      <c r="H276" s="453"/>
      <c r="I276" s="454"/>
      <c r="J276" s="247">
        <f>J262+J266</f>
        <v>11695724.83</v>
      </c>
      <c r="K276" s="247">
        <f t="shared" ref="K276:L276" si="46">K262+K266</f>
        <v>11710211.039999999</v>
      </c>
      <c r="L276" s="247">
        <f t="shared" si="46"/>
        <v>11697500.15</v>
      </c>
      <c r="M276" s="175"/>
    </row>
    <row r="277" spans="1:14" ht="16.5" x14ac:dyDescent="0.25">
      <c r="A277" s="414" t="s">
        <v>355</v>
      </c>
      <c r="B277" s="415"/>
      <c r="C277" s="415"/>
      <c r="D277" s="415"/>
      <c r="E277" s="415"/>
      <c r="F277" s="415"/>
      <c r="G277" s="415"/>
      <c r="H277" s="415"/>
      <c r="I277" s="416"/>
      <c r="J277" s="200">
        <f>J276/H278</f>
        <v>174563.0571641791</v>
      </c>
      <c r="K277" s="200">
        <f>K276/H278</f>
        <v>174779.26925373133</v>
      </c>
      <c r="L277" s="200">
        <f>L276/H278</f>
        <v>174589.55447761193</v>
      </c>
      <c r="M277" s="167"/>
    </row>
    <row r="278" spans="1:14" ht="16.5" x14ac:dyDescent="0.25">
      <c r="A278" s="232"/>
      <c r="B278" s="232"/>
      <c r="C278" s="232"/>
      <c r="D278" s="232"/>
      <c r="E278" s="232"/>
      <c r="F278" s="232"/>
      <c r="G278" s="232"/>
      <c r="H278" s="232">
        <v>67</v>
      </c>
      <c r="I278" s="232"/>
      <c r="J278" s="232"/>
      <c r="K278" s="232"/>
      <c r="L278" s="232"/>
      <c r="M278" s="232"/>
    </row>
    <row r="280" spans="1:14" ht="16.5" x14ac:dyDescent="0.25">
      <c r="A280" s="169"/>
      <c r="B280" s="169"/>
      <c r="C280" s="169"/>
      <c r="D280" s="169"/>
      <c r="E280" s="169"/>
      <c r="F280" s="169"/>
      <c r="G280" s="169"/>
      <c r="H280" s="169"/>
      <c r="I280" s="169"/>
      <c r="J280" s="211"/>
      <c r="K280" s="169" t="s">
        <v>385</v>
      </c>
      <c r="L280" s="169"/>
      <c r="M280" s="169"/>
    </row>
    <row r="281" spans="1:14" ht="16.5" x14ac:dyDescent="0.25">
      <c r="A281" s="468" t="s">
        <v>367</v>
      </c>
      <c r="B281" s="468"/>
      <c r="C281" s="468"/>
      <c r="D281" s="468"/>
      <c r="E281" s="468"/>
      <c r="F281" s="468"/>
      <c r="G281" s="468"/>
      <c r="H281" s="468"/>
      <c r="I281" s="468"/>
      <c r="J281" s="468"/>
      <c r="K281" s="468"/>
      <c r="L281" s="468"/>
      <c r="M281" s="468"/>
    </row>
    <row r="282" spans="1:14" ht="30" customHeight="1" x14ac:dyDescent="0.25">
      <c r="A282" s="469" t="s">
        <v>390</v>
      </c>
      <c r="B282" s="470"/>
      <c r="C282" s="470"/>
      <c r="D282" s="470"/>
      <c r="E282" s="470"/>
      <c r="F282" s="470"/>
      <c r="G282" s="470"/>
      <c r="H282" s="470"/>
      <c r="I282" s="471"/>
      <c r="J282" s="164" t="s">
        <v>392</v>
      </c>
      <c r="K282" s="246">
        <v>2024</v>
      </c>
      <c r="L282" s="246">
        <v>2025</v>
      </c>
      <c r="M282" s="164"/>
    </row>
    <row r="283" spans="1:14" ht="16.5" x14ac:dyDescent="0.25">
      <c r="A283" s="455" t="s">
        <v>170</v>
      </c>
      <c r="B283" s="456"/>
      <c r="C283" s="456"/>
      <c r="D283" s="456"/>
      <c r="E283" s="456"/>
      <c r="F283" s="456"/>
      <c r="G283" s="456"/>
      <c r="H283" s="456"/>
      <c r="I283" s="457"/>
      <c r="J283" s="205">
        <f>SUM(J284:J286)</f>
        <v>1079718.9334</v>
      </c>
      <c r="K283" s="205">
        <f t="shared" ref="K283:L283" si="47">SUM(K284:K286)</f>
        <v>1085151.2634000001</v>
      </c>
      <c r="L283" s="205">
        <f t="shared" si="47"/>
        <v>1080384.6834</v>
      </c>
      <c r="M283" s="204"/>
      <c r="N283" s="31"/>
    </row>
    <row r="284" spans="1:14" ht="16.5" x14ac:dyDescent="0.25">
      <c r="A284" s="510" t="s">
        <v>178</v>
      </c>
      <c r="B284" s="511"/>
      <c r="C284" s="511"/>
      <c r="D284" s="511"/>
      <c r="E284" s="511"/>
      <c r="F284" s="511"/>
      <c r="G284" s="511"/>
      <c r="H284" s="511"/>
      <c r="I284" s="512"/>
      <c r="J284" s="173">
        <f>1393819.86*69%</f>
        <v>961735.7034</v>
      </c>
      <c r="K284" s="173">
        <f>1393819.86*69%</f>
        <v>961735.7034</v>
      </c>
      <c r="L284" s="173">
        <f>1393819.86*69%</f>
        <v>961735.7034</v>
      </c>
      <c r="M284" s="172"/>
    </row>
    <row r="285" spans="1:14" ht="16.5" x14ac:dyDescent="0.25">
      <c r="A285" s="510" t="s">
        <v>297</v>
      </c>
      <c r="B285" s="511"/>
      <c r="C285" s="511"/>
      <c r="D285" s="511"/>
      <c r="E285" s="511"/>
      <c r="F285" s="511"/>
      <c r="G285" s="511"/>
      <c r="H285" s="511"/>
      <c r="I285" s="512"/>
      <c r="J285" s="173">
        <f>28609.78+40712.58</f>
        <v>69322.36</v>
      </c>
      <c r="K285" s="173">
        <f>31442.48+43312.21</f>
        <v>74754.69</v>
      </c>
      <c r="L285" s="173">
        <f>31442.48+38545.63</f>
        <v>69988.11</v>
      </c>
      <c r="M285" s="172"/>
    </row>
    <row r="286" spans="1:14" ht="16.5" x14ac:dyDescent="0.25">
      <c r="A286" s="414" t="s">
        <v>175</v>
      </c>
      <c r="B286" s="415"/>
      <c r="C286" s="415"/>
      <c r="D286" s="415"/>
      <c r="E286" s="415"/>
      <c r="F286" s="415"/>
      <c r="G286" s="415"/>
      <c r="H286" s="415"/>
      <c r="I286" s="416"/>
      <c r="J286" s="173">
        <v>48660.87</v>
      </c>
      <c r="K286" s="173">
        <v>48660.87</v>
      </c>
      <c r="L286" s="173">
        <v>48660.87</v>
      </c>
      <c r="M286" s="172"/>
    </row>
    <row r="287" spans="1:14" ht="16.5" x14ac:dyDescent="0.25">
      <c r="A287" s="519" t="s">
        <v>177</v>
      </c>
      <c r="B287" s="520"/>
      <c r="C287" s="520"/>
      <c r="D287" s="520"/>
      <c r="E287" s="520"/>
      <c r="F287" s="520"/>
      <c r="G287" s="520"/>
      <c r="H287" s="520"/>
      <c r="I287" s="521"/>
      <c r="J287" s="205">
        <f>J288+J289+J293+J295+J296</f>
        <v>866993.11660000007</v>
      </c>
      <c r="K287" s="205">
        <f t="shared" ref="K287:L287" si="48">K288+K289+K293+K295+K296</f>
        <v>866993.11660000018</v>
      </c>
      <c r="L287" s="205">
        <f t="shared" si="48"/>
        <v>866993.11660000007</v>
      </c>
      <c r="M287" s="204"/>
    </row>
    <row r="288" spans="1:14" ht="16.5" x14ac:dyDescent="0.25">
      <c r="A288" s="510" t="s">
        <v>179</v>
      </c>
      <c r="B288" s="511"/>
      <c r="C288" s="511"/>
      <c r="D288" s="511"/>
      <c r="E288" s="511"/>
      <c r="F288" s="511"/>
      <c r="G288" s="511"/>
      <c r="H288" s="511"/>
      <c r="I288" s="512"/>
      <c r="J288" s="173">
        <f>1393819.86-J284</f>
        <v>432084.1566000001</v>
      </c>
      <c r="K288" s="173">
        <f>1393819.86-K284</f>
        <v>432084.1566000001</v>
      </c>
      <c r="L288" s="173">
        <f>1393819.86-L284</f>
        <v>432084.1566000001</v>
      </c>
      <c r="M288" s="172"/>
    </row>
    <row r="289" spans="1:14" ht="16.5" x14ac:dyDescent="0.25">
      <c r="A289" s="414" t="s">
        <v>171</v>
      </c>
      <c r="B289" s="415"/>
      <c r="C289" s="415"/>
      <c r="D289" s="415"/>
      <c r="E289" s="415"/>
      <c r="F289" s="415"/>
      <c r="G289" s="415"/>
      <c r="H289" s="415"/>
      <c r="I289" s="416"/>
      <c r="J289" s="173">
        <f>SUM(J290:J292)</f>
        <v>89707.668338557996</v>
      </c>
      <c r="K289" s="173">
        <f t="shared" ref="K289:L289" si="49">SUM(K290:K292)</f>
        <v>93295.971473354235</v>
      </c>
      <c r="L289" s="173">
        <f t="shared" si="49"/>
        <v>97027.822884012538</v>
      </c>
      <c r="M289" s="172"/>
    </row>
    <row r="290" spans="1:14" ht="16.5" x14ac:dyDescent="0.25">
      <c r="A290" s="414" t="s">
        <v>172</v>
      </c>
      <c r="B290" s="415"/>
      <c r="C290" s="415"/>
      <c r="D290" s="415"/>
      <c r="E290" s="415"/>
      <c r="F290" s="415"/>
      <c r="G290" s="415"/>
      <c r="H290" s="415"/>
      <c r="I290" s="416"/>
      <c r="J290" s="173">
        <f>1063234/638*0.9*14</f>
        <v>20998.038244514108</v>
      </c>
      <c r="K290" s="173">
        <f>1105763/638*0.9*14</f>
        <v>21837.952664576802</v>
      </c>
      <c r="L290" s="173">
        <f>1149995/638*0.9*14</f>
        <v>22711.5</v>
      </c>
      <c r="M290" s="172"/>
    </row>
    <row r="291" spans="1:14" ht="16.5" x14ac:dyDescent="0.25">
      <c r="A291" s="414" t="s">
        <v>173</v>
      </c>
      <c r="B291" s="415"/>
      <c r="C291" s="415"/>
      <c r="D291" s="415"/>
      <c r="E291" s="415"/>
      <c r="F291" s="415"/>
      <c r="G291" s="415"/>
      <c r="H291" s="415"/>
      <c r="I291" s="416"/>
      <c r="J291" s="173">
        <f>3176838/638*0.5*14</f>
        <v>34855.589341692794</v>
      </c>
      <c r="K291" s="173">
        <f>3303912/638*0.5*14</f>
        <v>36249.818181818184</v>
      </c>
      <c r="L291" s="173">
        <f>3436068/638*0.5*14</f>
        <v>37699.805642633226</v>
      </c>
      <c r="M291" s="172"/>
    </row>
    <row r="292" spans="1:14" ht="16.5" x14ac:dyDescent="0.25">
      <c r="A292" s="414" t="s">
        <v>174</v>
      </c>
      <c r="B292" s="415"/>
      <c r="C292" s="415"/>
      <c r="D292" s="415"/>
      <c r="E292" s="415"/>
      <c r="F292" s="415"/>
      <c r="G292" s="415"/>
      <c r="H292" s="415"/>
      <c r="I292" s="416"/>
      <c r="J292" s="173">
        <f>1542777/638*14</f>
        <v>33854.040752351095</v>
      </c>
      <c r="K292" s="173">
        <f>1604488/638*14</f>
        <v>35208.200626959246</v>
      </c>
      <c r="L292" s="173">
        <f>1668667/638*14</f>
        <v>36616.517241379312</v>
      </c>
      <c r="M292" s="172"/>
    </row>
    <row r="293" spans="1:14" ht="16.5" x14ac:dyDescent="0.25">
      <c r="A293" s="414" t="s">
        <v>180</v>
      </c>
      <c r="B293" s="415"/>
      <c r="C293" s="415"/>
      <c r="D293" s="415"/>
      <c r="E293" s="415"/>
      <c r="F293" s="415"/>
      <c r="G293" s="415"/>
      <c r="H293" s="415"/>
      <c r="I293" s="416"/>
      <c r="J293" s="173">
        <v>8516.0300000000007</v>
      </c>
      <c r="K293" s="173">
        <v>8516.0300000000007</v>
      </c>
      <c r="L293" s="173">
        <v>8516.0300000000007</v>
      </c>
      <c r="M293" s="172"/>
    </row>
    <row r="294" spans="1:14" ht="16.5" x14ac:dyDescent="0.25">
      <c r="A294" s="414" t="s">
        <v>181</v>
      </c>
      <c r="B294" s="415"/>
      <c r="C294" s="415"/>
      <c r="D294" s="415"/>
      <c r="E294" s="415"/>
      <c r="F294" s="415"/>
      <c r="G294" s="415"/>
      <c r="H294" s="415"/>
      <c r="I294" s="416"/>
      <c r="J294" s="213"/>
      <c r="K294" s="173"/>
      <c r="L294" s="173"/>
      <c r="M294" s="172"/>
    </row>
    <row r="295" spans="1:14" ht="16.5" x14ac:dyDescent="0.25">
      <c r="A295" s="513" t="s">
        <v>295</v>
      </c>
      <c r="B295" s="514"/>
      <c r="C295" s="514"/>
      <c r="D295" s="514"/>
      <c r="E295" s="514"/>
      <c r="F295" s="514"/>
      <c r="G295" s="514"/>
      <c r="H295" s="514"/>
      <c r="I295" s="515"/>
      <c r="J295" s="173">
        <v>28481.25</v>
      </c>
      <c r="K295" s="173">
        <v>28481.25</v>
      </c>
      <c r="L295" s="173">
        <v>28481.25</v>
      </c>
      <c r="M295" s="172"/>
    </row>
    <row r="296" spans="1:14" ht="16.5" x14ac:dyDescent="0.25">
      <c r="A296" s="510" t="s">
        <v>300</v>
      </c>
      <c r="B296" s="511"/>
      <c r="C296" s="511"/>
      <c r="D296" s="511"/>
      <c r="E296" s="511"/>
      <c r="F296" s="511"/>
      <c r="G296" s="511"/>
      <c r="H296" s="511"/>
      <c r="I296" s="512"/>
      <c r="J296" s="200">
        <f>136274.8+216969.19+44667.69-J289</f>
        <v>308204.011661442</v>
      </c>
      <c r="K296" s="200">
        <f>136274.8+216969.19+44667.69-K289</f>
        <v>304615.70852664579</v>
      </c>
      <c r="L296" s="200">
        <f>136274.8+216969.19+44667.69-L289</f>
        <v>300883.85711598746</v>
      </c>
      <c r="M296" s="172"/>
    </row>
    <row r="297" spans="1:14" ht="16.5" x14ac:dyDescent="0.25">
      <c r="A297" s="452" t="s">
        <v>183</v>
      </c>
      <c r="B297" s="453"/>
      <c r="C297" s="453"/>
      <c r="D297" s="453"/>
      <c r="E297" s="453"/>
      <c r="F297" s="453"/>
      <c r="G297" s="453"/>
      <c r="H297" s="453"/>
      <c r="I297" s="454"/>
      <c r="J297" s="247">
        <f>J283+J287</f>
        <v>1946712.05</v>
      </c>
      <c r="K297" s="247">
        <f t="shared" ref="K297:L297" si="50">K283+K287</f>
        <v>1952144.3800000004</v>
      </c>
      <c r="L297" s="247">
        <f t="shared" si="50"/>
        <v>1947377.8</v>
      </c>
      <c r="M297" s="175"/>
    </row>
    <row r="298" spans="1:14" ht="16.5" x14ac:dyDescent="0.25">
      <c r="A298" s="414" t="s">
        <v>355</v>
      </c>
      <c r="B298" s="415"/>
      <c r="C298" s="415"/>
      <c r="D298" s="415"/>
      <c r="E298" s="415"/>
      <c r="F298" s="415"/>
      <c r="G298" s="415"/>
      <c r="H298" s="415"/>
      <c r="I298" s="416"/>
      <c r="J298" s="200">
        <f>J297/H299</f>
        <v>139050.86071428572</v>
      </c>
      <c r="K298" s="200">
        <f>K297/H299</f>
        <v>139438.8842857143</v>
      </c>
      <c r="L298" s="200">
        <f>L297/H299</f>
        <v>139098.4142857143</v>
      </c>
      <c r="M298" s="167"/>
    </row>
    <row r="299" spans="1:14" ht="16.5" x14ac:dyDescent="0.25">
      <c r="A299" s="232"/>
      <c r="B299" s="232"/>
      <c r="C299" s="232"/>
      <c r="D299" s="232"/>
      <c r="E299" s="232"/>
      <c r="F299" s="232"/>
      <c r="G299" s="232"/>
      <c r="H299" s="232">
        <v>14</v>
      </c>
      <c r="I299" s="232"/>
      <c r="J299" s="232"/>
      <c r="K299" s="232"/>
      <c r="L299" s="232"/>
      <c r="M299" s="232"/>
    </row>
    <row r="302" spans="1:14" ht="16.5" x14ac:dyDescent="0.25">
      <c r="A302" s="169"/>
      <c r="B302" s="169"/>
      <c r="C302" s="169"/>
      <c r="D302" s="169"/>
      <c r="E302" s="169"/>
      <c r="F302" s="169"/>
      <c r="G302" s="169"/>
      <c r="H302" s="169"/>
      <c r="I302" s="169"/>
      <c r="J302" s="211"/>
      <c r="K302" s="169" t="s">
        <v>386</v>
      </c>
      <c r="L302" s="169"/>
      <c r="M302" s="169"/>
    </row>
    <row r="303" spans="1:14" ht="16.5" x14ac:dyDescent="0.25">
      <c r="A303" s="468" t="s">
        <v>368</v>
      </c>
      <c r="B303" s="468"/>
      <c r="C303" s="468"/>
      <c r="D303" s="468"/>
      <c r="E303" s="468"/>
      <c r="F303" s="468"/>
      <c r="G303" s="468"/>
      <c r="H303" s="468"/>
      <c r="I303" s="468"/>
      <c r="J303" s="468"/>
      <c r="K303" s="468"/>
      <c r="L303" s="468"/>
      <c r="M303" s="468"/>
    </row>
    <row r="304" spans="1:14" ht="34.5" customHeight="1" x14ac:dyDescent="0.25">
      <c r="A304" s="469" t="s">
        <v>390</v>
      </c>
      <c r="B304" s="470"/>
      <c r="C304" s="470"/>
      <c r="D304" s="470"/>
      <c r="E304" s="470"/>
      <c r="F304" s="470"/>
      <c r="G304" s="470"/>
      <c r="H304" s="470"/>
      <c r="I304" s="471"/>
      <c r="J304" s="164" t="s">
        <v>394</v>
      </c>
      <c r="K304" s="246">
        <v>2024</v>
      </c>
      <c r="L304" s="246">
        <v>2025</v>
      </c>
      <c r="M304" s="164"/>
      <c r="N304" s="31"/>
    </row>
    <row r="305" spans="1:13" ht="16.5" x14ac:dyDescent="0.25">
      <c r="A305" s="455" t="s">
        <v>170</v>
      </c>
      <c r="B305" s="456"/>
      <c r="C305" s="456"/>
      <c r="D305" s="456"/>
      <c r="E305" s="456"/>
      <c r="F305" s="456"/>
      <c r="G305" s="456"/>
      <c r="H305" s="456"/>
      <c r="I305" s="457"/>
      <c r="J305" s="205">
        <f>SUM(J306:J308)</f>
        <v>4169459.0444</v>
      </c>
      <c r="K305" s="205">
        <f t="shared" ref="K305:L305" si="51">SUM(K306:K308)</f>
        <v>4176928.5044</v>
      </c>
      <c r="L305" s="205">
        <f t="shared" si="51"/>
        <v>4170374.4543999997</v>
      </c>
      <c r="M305" s="204"/>
    </row>
    <row r="306" spans="1:13" ht="16.5" x14ac:dyDescent="0.25">
      <c r="A306" s="510" t="s">
        <v>178</v>
      </c>
      <c r="B306" s="511"/>
      <c r="C306" s="511"/>
      <c r="D306" s="511"/>
      <c r="E306" s="511"/>
      <c r="F306" s="511"/>
      <c r="G306" s="511"/>
      <c r="H306" s="511"/>
      <c r="I306" s="512"/>
      <c r="J306" s="173">
        <f>5807582.76*69%</f>
        <v>4007232.1043999996</v>
      </c>
      <c r="K306" s="173">
        <f>5807582.76*69%</f>
        <v>4007232.1043999996</v>
      </c>
      <c r="L306" s="173">
        <f>5807582.76*69%</f>
        <v>4007232.1043999996</v>
      </c>
      <c r="M306" s="172"/>
    </row>
    <row r="307" spans="1:13" ht="16.5" x14ac:dyDescent="0.25">
      <c r="A307" s="510" t="s">
        <v>297</v>
      </c>
      <c r="B307" s="511"/>
      <c r="C307" s="511"/>
      <c r="D307" s="511"/>
      <c r="E307" s="511"/>
      <c r="F307" s="511"/>
      <c r="G307" s="511"/>
      <c r="H307" s="511"/>
      <c r="I307" s="512"/>
      <c r="J307" s="173">
        <f>39338.44+55979.8</f>
        <v>95318.24</v>
      </c>
      <c r="K307" s="173">
        <f>43233.41+59554.29</f>
        <v>102787.70000000001</v>
      </c>
      <c r="L307" s="173">
        <f>43233.41+53000.24</f>
        <v>96233.65</v>
      </c>
      <c r="M307" s="172"/>
    </row>
    <row r="308" spans="1:13" ht="16.5" x14ac:dyDescent="0.25">
      <c r="A308" s="414" t="s">
        <v>175</v>
      </c>
      <c r="B308" s="415"/>
      <c r="C308" s="415"/>
      <c r="D308" s="415"/>
      <c r="E308" s="415"/>
      <c r="F308" s="415"/>
      <c r="G308" s="415"/>
      <c r="H308" s="415"/>
      <c r="I308" s="416"/>
      <c r="J308" s="211">
        <v>66908.7</v>
      </c>
      <c r="K308" s="173">
        <v>66908.7</v>
      </c>
      <c r="L308" s="173">
        <v>66908.7</v>
      </c>
      <c r="M308" s="172"/>
    </row>
    <row r="309" spans="1:13" ht="16.5" x14ac:dyDescent="0.25">
      <c r="A309" s="519" t="s">
        <v>177</v>
      </c>
      <c r="B309" s="520"/>
      <c r="C309" s="520"/>
      <c r="D309" s="520"/>
      <c r="E309" s="520"/>
      <c r="F309" s="520"/>
      <c r="G309" s="520"/>
      <c r="H309" s="520"/>
      <c r="I309" s="521"/>
      <c r="J309" s="205">
        <f>J310+J311+J315+J317+J318</f>
        <v>2398350.4756</v>
      </c>
      <c r="K309" s="205">
        <f t="shared" ref="K309:L309" si="52">K310+K311+K315+K317+K318</f>
        <v>2398350.4656000002</v>
      </c>
      <c r="L309" s="205">
        <f t="shared" si="52"/>
        <v>2398350.4656000002</v>
      </c>
      <c r="M309" s="204"/>
    </row>
    <row r="310" spans="1:13" ht="16.5" x14ac:dyDescent="0.25">
      <c r="A310" s="510" t="s">
        <v>179</v>
      </c>
      <c r="B310" s="511"/>
      <c r="C310" s="511"/>
      <c r="D310" s="511"/>
      <c r="E310" s="511"/>
      <c r="F310" s="511"/>
      <c r="G310" s="511"/>
      <c r="H310" s="511"/>
      <c r="I310" s="512"/>
      <c r="J310" s="173">
        <f>5807582.76-J306</f>
        <v>1800350.6556000002</v>
      </c>
      <c r="K310" s="173">
        <f>5807582.76-K306</f>
        <v>1800350.6556000002</v>
      </c>
      <c r="L310" s="173">
        <f>5807582.76-L306</f>
        <v>1800350.6556000002</v>
      </c>
      <c r="M310" s="172"/>
    </row>
    <row r="311" spans="1:13" ht="16.5" x14ac:dyDescent="0.25">
      <c r="A311" s="414" t="s">
        <v>171</v>
      </c>
      <c r="B311" s="415"/>
      <c r="C311" s="415"/>
      <c r="D311" s="415"/>
      <c r="E311" s="415"/>
      <c r="F311" s="415"/>
      <c r="G311" s="415"/>
      <c r="H311" s="415"/>
      <c r="I311" s="416"/>
      <c r="J311" s="173">
        <f>SUM(J312:J314)</f>
        <v>211453.78965517244</v>
      </c>
      <c r="K311" s="173">
        <f t="shared" ref="K311:L311" si="53">SUM(K312:K314)</f>
        <v>219911.93275862068</v>
      </c>
      <c r="L311" s="173">
        <f t="shared" si="53"/>
        <v>228708.39310344827</v>
      </c>
      <c r="M311" s="172"/>
    </row>
    <row r="312" spans="1:13" ht="16.5" x14ac:dyDescent="0.25">
      <c r="A312" s="414" t="s">
        <v>172</v>
      </c>
      <c r="B312" s="415"/>
      <c r="C312" s="415"/>
      <c r="D312" s="415"/>
      <c r="E312" s="415"/>
      <c r="F312" s="415"/>
      <c r="G312" s="415"/>
      <c r="H312" s="415"/>
      <c r="I312" s="416"/>
      <c r="J312" s="173">
        <f>1063234/638*0.9*33</f>
        <v>49495.375862068962</v>
      </c>
      <c r="K312" s="173">
        <f>1105763/638*0.9*33</f>
        <v>51475.174137931033</v>
      </c>
      <c r="L312" s="173">
        <f>1149994/638*0.9*33</f>
        <v>53534.203448275868</v>
      </c>
      <c r="M312" s="172"/>
    </row>
    <row r="313" spans="1:13" ht="16.5" x14ac:dyDescent="0.25">
      <c r="A313" s="414" t="s">
        <v>173</v>
      </c>
      <c r="B313" s="415"/>
      <c r="C313" s="415"/>
      <c r="D313" s="415"/>
      <c r="E313" s="415"/>
      <c r="F313" s="415"/>
      <c r="G313" s="415"/>
      <c r="H313" s="415"/>
      <c r="I313" s="416"/>
      <c r="J313" s="173">
        <f>3176838/638*0.5*33</f>
        <v>82159.60344827587</v>
      </c>
      <c r="K313" s="173">
        <f>3303912/638*0.5*33</f>
        <v>85446</v>
      </c>
      <c r="L313" s="173">
        <f>3436068/638*0.5*33</f>
        <v>88863.827586206899</v>
      </c>
      <c r="M313" s="172"/>
    </row>
    <row r="314" spans="1:13" ht="16.5" x14ac:dyDescent="0.25">
      <c r="A314" s="414" t="s">
        <v>174</v>
      </c>
      <c r="B314" s="415"/>
      <c r="C314" s="415"/>
      <c r="D314" s="415"/>
      <c r="E314" s="415"/>
      <c r="F314" s="415"/>
      <c r="G314" s="415"/>
      <c r="H314" s="415"/>
      <c r="I314" s="416"/>
      <c r="J314" s="173">
        <f>1542777/638*33</f>
        <v>79798.81034482758</v>
      </c>
      <c r="K314" s="173">
        <f>1604488/638*33</f>
        <v>82990.758620689652</v>
      </c>
      <c r="L314" s="173">
        <f>1668667/638*33</f>
        <v>86310.362068965522</v>
      </c>
      <c r="M314" s="172"/>
    </row>
    <row r="315" spans="1:13" ht="16.5" x14ac:dyDescent="0.25">
      <c r="A315" s="414" t="s">
        <v>180</v>
      </c>
      <c r="B315" s="415"/>
      <c r="C315" s="415"/>
      <c r="D315" s="415"/>
      <c r="E315" s="415"/>
      <c r="F315" s="415"/>
      <c r="G315" s="415"/>
      <c r="H315" s="415"/>
      <c r="I315" s="416"/>
      <c r="J315" s="173">
        <v>11709.54</v>
      </c>
      <c r="K315" s="173">
        <v>11709.54</v>
      </c>
      <c r="L315" s="173">
        <v>11709.54</v>
      </c>
      <c r="M315" s="172"/>
    </row>
    <row r="316" spans="1:13" ht="16.5" x14ac:dyDescent="0.25">
      <c r="A316" s="414" t="s">
        <v>181</v>
      </c>
      <c r="B316" s="415"/>
      <c r="C316" s="415"/>
      <c r="D316" s="415"/>
      <c r="E316" s="415"/>
      <c r="F316" s="415"/>
      <c r="G316" s="415"/>
      <c r="H316" s="415"/>
      <c r="I316" s="416"/>
      <c r="J316" s="213"/>
      <c r="K316" s="173"/>
      <c r="L316" s="173"/>
      <c r="M316" s="172"/>
    </row>
    <row r="317" spans="1:13" ht="16.5" x14ac:dyDescent="0.25">
      <c r="A317" s="513" t="s">
        <v>295</v>
      </c>
      <c r="B317" s="514"/>
      <c r="C317" s="514"/>
      <c r="D317" s="514"/>
      <c r="E317" s="514"/>
      <c r="F317" s="514"/>
      <c r="G317" s="514"/>
      <c r="H317" s="514"/>
      <c r="I317" s="515"/>
      <c r="J317" s="173">
        <v>39161.72</v>
      </c>
      <c r="K317" s="173">
        <v>39161.72</v>
      </c>
      <c r="L317" s="173">
        <v>39161.72</v>
      </c>
      <c r="M317" s="172"/>
    </row>
    <row r="318" spans="1:13" ht="16.5" x14ac:dyDescent="0.25">
      <c r="A318" s="510" t="s">
        <v>300</v>
      </c>
      <c r="B318" s="511"/>
      <c r="C318" s="511"/>
      <c r="D318" s="511"/>
      <c r="E318" s="511"/>
      <c r="F318" s="511"/>
      <c r="G318" s="511"/>
      <c r="H318" s="511"/>
      <c r="I318" s="512"/>
      <c r="J318" s="200">
        <f>187377.85+298332.64+61418.07-J311</f>
        <v>335674.7703448275</v>
      </c>
      <c r="K318" s="200">
        <f>187377.85+298332.64+61418.06-K311</f>
        <v>327216.61724137934</v>
      </c>
      <c r="L318" s="200">
        <f>187377.85+298332.64+61418.06-L311</f>
        <v>318420.15689655178</v>
      </c>
      <c r="M318" s="172"/>
    </row>
    <row r="319" spans="1:13" ht="16.5" x14ac:dyDescent="0.25">
      <c r="A319" s="452" t="s">
        <v>183</v>
      </c>
      <c r="B319" s="453"/>
      <c r="C319" s="453"/>
      <c r="D319" s="453"/>
      <c r="E319" s="453"/>
      <c r="F319" s="453"/>
      <c r="G319" s="453"/>
      <c r="H319" s="453"/>
      <c r="I319" s="454"/>
      <c r="J319" s="247">
        <f>J305+J309</f>
        <v>6567809.5199999996</v>
      </c>
      <c r="K319" s="247">
        <f t="shared" ref="K319:L319" si="54">K305+K309</f>
        <v>6575278.9700000007</v>
      </c>
      <c r="L319" s="247">
        <f t="shared" si="54"/>
        <v>6568724.9199999999</v>
      </c>
      <c r="M319" s="175"/>
    </row>
    <row r="320" spans="1:13" ht="16.5" x14ac:dyDescent="0.25">
      <c r="A320" s="414" t="s">
        <v>355</v>
      </c>
      <c r="B320" s="415"/>
      <c r="C320" s="415"/>
      <c r="D320" s="415"/>
      <c r="E320" s="415"/>
      <c r="F320" s="415"/>
      <c r="G320" s="415"/>
      <c r="H320" s="415"/>
      <c r="I320" s="416"/>
      <c r="J320" s="200">
        <f>J319/H321</f>
        <v>199024.53090909088</v>
      </c>
      <c r="K320" s="200">
        <f>K319/H321</f>
        <v>199250.8778787879</v>
      </c>
      <c r="L320" s="200">
        <f>L319/H321</f>
        <v>199052.27030303029</v>
      </c>
      <c r="M320" s="167"/>
    </row>
    <row r="321" spans="1:14" ht="16.5" x14ac:dyDescent="0.25">
      <c r="A321" s="232"/>
      <c r="B321" s="232"/>
      <c r="C321" s="232"/>
      <c r="D321" s="232"/>
      <c r="E321" s="232"/>
      <c r="F321" s="232"/>
      <c r="G321" s="232"/>
      <c r="H321" s="232">
        <v>33</v>
      </c>
      <c r="I321" s="232"/>
      <c r="J321" s="232"/>
      <c r="K321" s="232"/>
      <c r="L321" s="232"/>
      <c r="M321" s="232"/>
    </row>
    <row r="323" spans="1:14" ht="16.5" x14ac:dyDescent="0.25">
      <c r="A323" s="169"/>
      <c r="B323" s="169"/>
      <c r="C323" s="169"/>
      <c r="D323" s="169"/>
      <c r="E323" s="169"/>
      <c r="F323" s="169"/>
      <c r="G323" s="169"/>
      <c r="H323" s="169"/>
      <c r="I323" s="169"/>
      <c r="J323" s="211"/>
      <c r="K323" s="169" t="s">
        <v>388</v>
      </c>
      <c r="L323" s="169"/>
      <c r="M323" s="169"/>
    </row>
    <row r="324" spans="1:14" ht="16.5" x14ac:dyDescent="0.25">
      <c r="A324" s="468" t="s">
        <v>387</v>
      </c>
      <c r="B324" s="468"/>
      <c r="C324" s="468"/>
      <c r="D324" s="468"/>
      <c r="E324" s="468"/>
      <c r="F324" s="468"/>
      <c r="G324" s="468"/>
      <c r="H324" s="468"/>
      <c r="I324" s="468"/>
      <c r="J324" s="468"/>
      <c r="K324" s="468"/>
      <c r="L324" s="468"/>
      <c r="M324" s="468"/>
    </row>
    <row r="325" spans="1:14" ht="31.5" customHeight="1" x14ac:dyDescent="0.25">
      <c r="A325" s="469" t="s">
        <v>390</v>
      </c>
      <c r="B325" s="470"/>
      <c r="C325" s="470"/>
      <c r="D325" s="470"/>
      <c r="E325" s="470"/>
      <c r="F325" s="470"/>
      <c r="G325" s="470"/>
      <c r="H325" s="470"/>
      <c r="I325" s="471"/>
      <c r="J325" s="164" t="s">
        <v>392</v>
      </c>
      <c r="K325" s="246">
        <v>2024</v>
      </c>
      <c r="L325" s="246">
        <v>2025</v>
      </c>
      <c r="M325" s="164"/>
    </row>
    <row r="326" spans="1:14" ht="16.5" x14ac:dyDescent="0.25">
      <c r="A326" s="455" t="s">
        <v>170</v>
      </c>
      <c r="B326" s="456"/>
      <c r="C326" s="456"/>
      <c r="D326" s="456"/>
      <c r="E326" s="456"/>
      <c r="F326" s="456"/>
      <c r="G326" s="456"/>
      <c r="H326" s="456"/>
      <c r="I326" s="457"/>
      <c r="J326" s="226">
        <f>SUM(J327:J329)</f>
        <v>485783.82169999997</v>
      </c>
      <c r="K326" s="226">
        <f t="shared" ref="K326:L326" si="55">SUM(K327:K329)</f>
        <v>486010.17170000001</v>
      </c>
      <c r="L326" s="226">
        <f t="shared" si="55"/>
        <v>485811.56169999996</v>
      </c>
      <c r="M326" s="204"/>
      <c r="N326" s="31"/>
    </row>
    <row r="327" spans="1:14" ht="16.5" x14ac:dyDescent="0.25">
      <c r="A327" s="510" t="s">
        <v>178</v>
      </c>
      <c r="B327" s="511"/>
      <c r="C327" s="511"/>
      <c r="D327" s="511"/>
      <c r="E327" s="511"/>
      <c r="F327" s="511"/>
      <c r="G327" s="511"/>
      <c r="H327" s="511"/>
      <c r="I327" s="512"/>
      <c r="J327" s="173">
        <f>696909.93*69%</f>
        <v>480867.8517</v>
      </c>
      <c r="K327" s="173">
        <f>696909.93*69%</f>
        <v>480867.8517</v>
      </c>
      <c r="L327" s="173">
        <f>696909.93*69%</f>
        <v>480867.8517</v>
      </c>
      <c r="M327" s="172"/>
    </row>
    <row r="328" spans="1:14" ht="16.5" x14ac:dyDescent="0.25">
      <c r="A328" s="510" t="s">
        <v>297</v>
      </c>
      <c r="B328" s="511"/>
      <c r="C328" s="511"/>
      <c r="D328" s="511"/>
      <c r="E328" s="511"/>
      <c r="F328" s="511"/>
      <c r="G328" s="511"/>
      <c r="H328" s="511"/>
      <c r="I328" s="512"/>
      <c r="J328" s="173">
        <f>1192.07+1696.36</f>
        <v>2888.43</v>
      </c>
      <c r="K328" s="173">
        <f>1310.1+1804.68</f>
        <v>3114.7799999999997</v>
      </c>
      <c r="L328" s="173">
        <f>1310.1+1606.07</f>
        <v>2916.17</v>
      </c>
      <c r="M328" s="172"/>
    </row>
    <row r="329" spans="1:14" ht="16.5" x14ac:dyDescent="0.25">
      <c r="A329" s="414" t="s">
        <v>175</v>
      </c>
      <c r="B329" s="415"/>
      <c r="C329" s="415"/>
      <c r="D329" s="415"/>
      <c r="E329" s="415"/>
      <c r="F329" s="415"/>
      <c r="G329" s="415"/>
      <c r="H329" s="415"/>
      <c r="I329" s="416"/>
      <c r="J329" s="211">
        <v>2027.54</v>
      </c>
      <c r="K329" s="173">
        <v>2027.54</v>
      </c>
      <c r="L329" s="173">
        <v>2027.54</v>
      </c>
      <c r="M329" s="172"/>
    </row>
    <row r="330" spans="1:14" ht="16.5" x14ac:dyDescent="0.25">
      <c r="A330" s="519" t="s">
        <v>177</v>
      </c>
      <c r="B330" s="520"/>
      <c r="C330" s="520"/>
      <c r="D330" s="520"/>
      <c r="E330" s="520"/>
      <c r="F330" s="520"/>
      <c r="G330" s="520"/>
      <c r="H330" s="520"/>
      <c r="I330" s="521"/>
      <c r="J330" s="205">
        <f>J331+J332+J336+J338+J339</f>
        <v>234163.28830000004</v>
      </c>
      <c r="K330" s="205">
        <f t="shared" ref="K330:L330" si="56">K331+K332+K336+K338+K339</f>
        <v>234163.27830000003</v>
      </c>
      <c r="L330" s="205">
        <f t="shared" si="56"/>
        <v>234163.28830000004</v>
      </c>
      <c r="M330" s="204"/>
    </row>
    <row r="331" spans="1:14" ht="16.5" x14ac:dyDescent="0.25">
      <c r="A331" s="510" t="s">
        <v>179</v>
      </c>
      <c r="B331" s="511"/>
      <c r="C331" s="511"/>
      <c r="D331" s="511"/>
      <c r="E331" s="511"/>
      <c r="F331" s="511"/>
      <c r="G331" s="511"/>
      <c r="H331" s="511"/>
      <c r="I331" s="512"/>
      <c r="J331" s="173">
        <f>696909.93-J327</f>
        <v>216042.07830000005</v>
      </c>
      <c r="K331" s="173">
        <f>696909.93-K327</f>
        <v>216042.07830000005</v>
      </c>
      <c r="L331" s="173">
        <f>696909.93-L327</f>
        <v>216042.07830000005</v>
      </c>
      <c r="M331" s="172"/>
      <c r="N331" s="31"/>
    </row>
    <row r="332" spans="1:14" ht="16.5" x14ac:dyDescent="0.25">
      <c r="A332" s="414" t="s">
        <v>171</v>
      </c>
      <c r="B332" s="415"/>
      <c r="C332" s="415"/>
      <c r="D332" s="415"/>
      <c r="E332" s="415"/>
      <c r="F332" s="415"/>
      <c r="G332" s="415"/>
      <c r="H332" s="415"/>
      <c r="I332" s="416"/>
      <c r="J332" s="173">
        <f>SUM(J333:J335)</f>
        <v>12815.381191222572</v>
      </c>
      <c r="K332" s="173">
        <f t="shared" ref="K332:L332" si="57">SUM(K333:K335)</f>
        <v>13327.995924764891</v>
      </c>
      <c r="L332" s="173">
        <f t="shared" si="57"/>
        <v>13861.114733542321</v>
      </c>
      <c r="M332" s="172"/>
    </row>
    <row r="333" spans="1:14" ht="16.5" x14ac:dyDescent="0.25">
      <c r="A333" s="414" t="s">
        <v>172</v>
      </c>
      <c r="B333" s="415"/>
      <c r="C333" s="415"/>
      <c r="D333" s="415"/>
      <c r="E333" s="415"/>
      <c r="F333" s="415"/>
      <c r="G333" s="415"/>
      <c r="H333" s="415"/>
      <c r="I333" s="416"/>
      <c r="J333" s="173">
        <f>1063234/638*0.9*2</f>
        <v>2999.7197492163009</v>
      </c>
      <c r="K333" s="173">
        <f>1105763/638*0.9*2</f>
        <v>3119.7075235109719</v>
      </c>
      <c r="L333" s="173">
        <f>1149994/638*0.9*2</f>
        <v>3244.4971786833858</v>
      </c>
      <c r="M333" s="172"/>
    </row>
    <row r="334" spans="1:14" ht="16.5" x14ac:dyDescent="0.25">
      <c r="A334" s="414" t="s">
        <v>173</v>
      </c>
      <c r="B334" s="415"/>
      <c r="C334" s="415"/>
      <c r="D334" s="415"/>
      <c r="E334" s="415"/>
      <c r="F334" s="415"/>
      <c r="G334" s="415"/>
      <c r="H334" s="415"/>
      <c r="I334" s="416"/>
      <c r="J334" s="173">
        <f>3176838/638*0.5*2</f>
        <v>4979.3699059561131</v>
      </c>
      <c r="K334" s="173">
        <f>3303912/638*0.5*2</f>
        <v>5178.545454545455</v>
      </c>
      <c r="L334" s="173">
        <f>3436068/638*0.5*2</f>
        <v>5385.6865203761754</v>
      </c>
      <c r="M334" s="172"/>
    </row>
    <row r="335" spans="1:14" ht="16.5" x14ac:dyDescent="0.25">
      <c r="A335" s="414" t="s">
        <v>174</v>
      </c>
      <c r="B335" s="415"/>
      <c r="C335" s="415"/>
      <c r="D335" s="415"/>
      <c r="E335" s="415"/>
      <c r="F335" s="415"/>
      <c r="G335" s="415"/>
      <c r="H335" s="415"/>
      <c r="I335" s="416"/>
      <c r="J335" s="173">
        <f>1542777/638*2</f>
        <v>4836.2915360501565</v>
      </c>
      <c r="K335" s="173">
        <f>1604488/638*2</f>
        <v>5029.7429467084639</v>
      </c>
      <c r="L335" s="173">
        <f>1668667/638*2</f>
        <v>5230.9310344827591</v>
      </c>
      <c r="M335" s="172"/>
    </row>
    <row r="336" spans="1:14" ht="16.5" x14ac:dyDescent="0.25">
      <c r="A336" s="414" t="s">
        <v>180</v>
      </c>
      <c r="B336" s="415"/>
      <c r="C336" s="415"/>
      <c r="D336" s="415"/>
      <c r="E336" s="415"/>
      <c r="F336" s="415"/>
      <c r="G336" s="415"/>
      <c r="H336" s="415"/>
      <c r="I336" s="416"/>
      <c r="J336" s="173">
        <v>354.83</v>
      </c>
      <c r="K336" s="173">
        <v>354.83</v>
      </c>
      <c r="L336" s="173">
        <v>354.83</v>
      </c>
      <c r="M336" s="172"/>
    </row>
    <row r="337" spans="1:14" ht="16.5" x14ac:dyDescent="0.25">
      <c r="A337" s="414" t="s">
        <v>181</v>
      </c>
      <c r="B337" s="415"/>
      <c r="C337" s="415"/>
      <c r="D337" s="415"/>
      <c r="E337" s="415"/>
      <c r="F337" s="415"/>
      <c r="G337" s="415"/>
      <c r="H337" s="415"/>
      <c r="I337" s="416"/>
      <c r="J337" s="213"/>
      <c r="K337" s="173"/>
      <c r="L337" s="173"/>
      <c r="M337" s="172"/>
    </row>
    <row r="338" spans="1:14" ht="16.5" x14ac:dyDescent="0.25">
      <c r="A338" s="513" t="s">
        <v>295</v>
      </c>
      <c r="B338" s="514"/>
      <c r="C338" s="514"/>
      <c r="D338" s="514"/>
      <c r="E338" s="514"/>
      <c r="F338" s="514"/>
      <c r="G338" s="514"/>
      <c r="H338" s="514"/>
      <c r="I338" s="515"/>
      <c r="J338" s="173">
        <v>1186.72</v>
      </c>
      <c r="K338" s="173">
        <v>1186.72</v>
      </c>
      <c r="L338" s="173">
        <v>1186.72</v>
      </c>
      <c r="M338" s="172"/>
    </row>
    <row r="339" spans="1:14" ht="16.5" x14ac:dyDescent="0.25">
      <c r="A339" s="510" t="s">
        <v>300</v>
      </c>
      <c r="B339" s="511"/>
      <c r="C339" s="511"/>
      <c r="D339" s="511"/>
      <c r="E339" s="511"/>
      <c r="F339" s="511"/>
      <c r="G339" s="511"/>
      <c r="H339" s="511"/>
      <c r="I339" s="512"/>
      <c r="J339" s="200">
        <f>5678.12+9040.38+1861.16-J332</f>
        <v>3764.2788087774279</v>
      </c>
      <c r="K339" s="200">
        <f>5678.12+9040.38+1861.15-K332</f>
        <v>3251.6540752351102</v>
      </c>
      <c r="L339" s="200">
        <f>5678.12+9040.38+1861.16-L332</f>
        <v>2718.5452664576787</v>
      </c>
      <c r="M339" s="172"/>
    </row>
    <row r="340" spans="1:14" ht="16.5" x14ac:dyDescent="0.25">
      <c r="A340" s="452" t="s">
        <v>183</v>
      </c>
      <c r="B340" s="453"/>
      <c r="C340" s="453"/>
      <c r="D340" s="453"/>
      <c r="E340" s="453"/>
      <c r="F340" s="453"/>
      <c r="G340" s="453"/>
      <c r="H340" s="453"/>
      <c r="I340" s="454"/>
      <c r="J340" s="247">
        <f>J326+J330</f>
        <v>719947.11</v>
      </c>
      <c r="K340" s="247">
        <f t="shared" ref="K340:L340" si="58">K326+K330</f>
        <v>720173.45000000007</v>
      </c>
      <c r="L340" s="247">
        <f t="shared" si="58"/>
        <v>719974.85</v>
      </c>
      <c r="M340" s="175"/>
    </row>
    <row r="341" spans="1:14" ht="16.5" x14ac:dyDescent="0.25">
      <c r="A341" s="414" t="s">
        <v>355</v>
      </c>
      <c r="B341" s="415"/>
      <c r="C341" s="415"/>
      <c r="D341" s="415"/>
      <c r="E341" s="415"/>
      <c r="F341" s="415"/>
      <c r="G341" s="415"/>
      <c r="H341" s="415"/>
      <c r="I341" s="416"/>
      <c r="J341" s="200">
        <f>J340/H342</f>
        <v>359973.55499999999</v>
      </c>
      <c r="K341" s="200">
        <f>K340/H342</f>
        <v>360086.72500000003</v>
      </c>
      <c r="L341" s="200">
        <f>L340/H342</f>
        <v>359987.42499999999</v>
      </c>
      <c r="M341" s="167"/>
    </row>
    <row r="342" spans="1:14" ht="16.5" x14ac:dyDescent="0.25">
      <c r="A342" s="232"/>
      <c r="B342" s="232"/>
      <c r="C342" s="232"/>
      <c r="D342" s="232"/>
      <c r="E342" s="232"/>
      <c r="F342" s="232"/>
      <c r="G342" s="232"/>
      <c r="H342" s="232">
        <v>2</v>
      </c>
      <c r="I342" s="232"/>
      <c r="J342" s="232"/>
      <c r="K342" s="232"/>
      <c r="L342" s="232"/>
      <c r="M342" s="232"/>
    </row>
    <row r="345" spans="1:14" ht="16.5" x14ac:dyDescent="0.25">
      <c r="A345" s="169"/>
      <c r="B345" s="169"/>
      <c r="C345" s="169"/>
      <c r="D345" s="169"/>
      <c r="E345" s="169"/>
      <c r="F345" s="169"/>
      <c r="G345" s="169"/>
      <c r="H345" s="169"/>
      <c r="I345" s="169"/>
      <c r="J345" s="211"/>
      <c r="K345" s="169" t="s">
        <v>389</v>
      </c>
      <c r="L345" s="169"/>
      <c r="M345" s="169"/>
    </row>
    <row r="346" spans="1:14" s="145" customFormat="1" ht="33" customHeight="1" x14ac:dyDescent="0.25">
      <c r="A346" s="531" t="s">
        <v>369</v>
      </c>
      <c r="B346" s="531"/>
      <c r="C346" s="531"/>
      <c r="D346" s="531"/>
      <c r="E346" s="531"/>
      <c r="F346" s="531"/>
      <c r="G346" s="531"/>
      <c r="H346" s="531"/>
      <c r="I346" s="531"/>
      <c r="J346" s="531"/>
      <c r="K346" s="531"/>
      <c r="L346" s="531"/>
      <c r="M346" s="531"/>
    </row>
    <row r="347" spans="1:14" ht="33" customHeight="1" x14ac:dyDescent="0.25">
      <c r="A347" s="469" t="s">
        <v>390</v>
      </c>
      <c r="B347" s="470"/>
      <c r="C347" s="470"/>
      <c r="D347" s="470"/>
      <c r="E347" s="470"/>
      <c r="F347" s="470"/>
      <c r="G347" s="470"/>
      <c r="H347" s="470"/>
      <c r="I347" s="471"/>
      <c r="J347" s="164" t="s">
        <v>392</v>
      </c>
      <c r="K347" s="246">
        <v>2024</v>
      </c>
      <c r="L347" s="246">
        <v>2025</v>
      </c>
      <c r="M347" s="164"/>
      <c r="N347" s="31"/>
    </row>
    <row r="348" spans="1:14" ht="16.5" x14ac:dyDescent="0.25">
      <c r="A348" s="455" t="s">
        <v>170</v>
      </c>
      <c r="B348" s="456"/>
      <c r="C348" s="456"/>
      <c r="D348" s="456"/>
      <c r="E348" s="456"/>
      <c r="F348" s="456"/>
      <c r="G348" s="456"/>
      <c r="H348" s="456"/>
      <c r="I348" s="457"/>
      <c r="J348" s="205">
        <f>SUM(J349:J351)</f>
        <v>2614327.9859999996</v>
      </c>
      <c r="K348" s="205">
        <f t="shared" ref="K348:L348" si="59">SUM(K349:K351)</f>
        <v>2733297.3859999999</v>
      </c>
      <c r="L348" s="205">
        <f t="shared" si="59"/>
        <v>2771343.426</v>
      </c>
      <c r="M348" s="204"/>
    </row>
    <row r="349" spans="1:14" ht="16.5" x14ac:dyDescent="0.25">
      <c r="A349" s="510" t="s">
        <v>178</v>
      </c>
      <c r="B349" s="511"/>
      <c r="C349" s="511"/>
      <c r="D349" s="511"/>
      <c r="E349" s="511"/>
      <c r="F349" s="511"/>
      <c r="G349" s="511"/>
      <c r="H349" s="511"/>
      <c r="I349" s="512"/>
      <c r="J349" s="173">
        <f>3514205.4*69%</f>
        <v>2424801.7259999998</v>
      </c>
      <c r="K349" s="173">
        <f>3514205.4*69%</f>
        <v>2424801.7259999998</v>
      </c>
      <c r="L349" s="173">
        <f>3514205.4*69%</f>
        <v>2424801.7259999998</v>
      </c>
      <c r="M349" s="172"/>
      <c r="N349" s="31"/>
    </row>
    <row r="350" spans="1:14" ht="16.5" x14ac:dyDescent="0.25">
      <c r="A350" s="510" t="s">
        <v>297</v>
      </c>
      <c r="B350" s="511"/>
      <c r="C350" s="511"/>
      <c r="D350" s="511"/>
      <c r="E350" s="511"/>
      <c r="F350" s="511"/>
      <c r="G350" s="511"/>
      <c r="H350" s="511"/>
      <c r="I350" s="512"/>
      <c r="J350" s="173">
        <f>45958.26+65400</f>
        <v>111358.26000000001</v>
      </c>
      <c r="K350" s="173">
        <f>6639.66+69576</f>
        <v>76215.66</v>
      </c>
      <c r="L350" s="173">
        <f>61919.04-3934.34</f>
        <v>57984.7</v>
      </c>
      <c r="M350" s="172"/>
    </row>
    <row r="351" spans="1:14" ht="16.5" x14ac:dyDescent="0.25">
      <c r="A351" s="414" t="s">
        <v>175</v>
      </c>
      <c r="B351" s="415"/>
      <c r="C351" s="415"/>
      <c r="D351" s="415"/>
      <c r="E351" s="415"/>
      <c r="F351" s="415"/>
      <c r="G351" s="415"/>
      <c r="H351" s="415"/>
      <c r="I351" s="416"/>
      <c r="J351" s="211">
        <v>78168</v>
      </c>
      <c r="K351" s="173">
        <v>232280</v>
      </c>
      <c r="L351" s="173">
        <v>288557</v>
      </c>
      <c r="M351" s="172"/>
    </row>
    <row r="352" spans="1:14" ht="16.5" x14ac:dyDescent="0.25">
      <c r="A352" s="519" t="s">
        <v>177</v>
      </c>
      <c r="B352" s="520"/>
      <c r="C352" s="520"/>
      <c r="D352" s="520"/>
      <c r="E352" s="520"/>
      <c r="F352" s="520"/>
      <c r="G352" s="520"/>
      <c r="H352" s="520"/>
      <c r="I352" s="521"/>
      <c r="J352" s="205">
        <f>J353+J354+J358+J360+J361</f>
        <v>1788034.014</v>
      </c>
      <c r="K352" s="205">
        <f t="shared" ref="K352:L352" si="60">K353+K354+K358+K360+K361</f>
        <v>2007851.0140000004</v>
      </c>
      <c r="L352" s="205">
        <f t="shared" si="60"/>
        <v>2340464.0140000004</v>
      </c>
      <c r="M352" s="204"/>
    </row>
    <row r="353" spans="1:13" ht="16.5" x14ac:dyDescent="0.25">
      <c r="A353" s="510" t="s">
        <v>179</v>
      </c>
      <c r="B353" s="511"/>
      <c r="C353" s="511"/>
      <c r="D353" s="511"/>
      <c r="E353" s="511"/>
      <c r="F353" s="511"/>
      <c r="G353" s="511"/>
      <c r="H353" s="511"/>
      <c r="I353" s="512"/>
      <c r="J353" s="173">
        <f>3514205.4-J349</f>
        <v>1089403.6740000001</v>
      </c>
      <c r="K353" s="173">
        <f>3514205.4-K349</f>
        <v>1089403.6740000001</v>
      </c>
      <c r="L353" s="173">
        <f>3514205.4-L349</f>
        <v>1089403.6740000001</v>
      </c>
      <c r="M353" s="172"/>
    </row>
    <row r="354" spans="1:13" ht="16.5" x14ac:dyDescent="0.25">
      <c r="A354" s="414" t="s">
        <v>171</v>
      </c>
      <c r="B354" s="415"/>
      <c r="C354" s="415"/>
      <c r="D354" s="415"/>
      <c r="E354" s="415"/>
      <c r="F354" s="415"/>
      <c r="G354" s="415"/>
      <c r="H354" s="415"/>
      <c r="I354" s="416"/>
      <c r="J354" s="173">
        <f>SUM(J355:J357)</f>
        <v>512615.24764890282</v>
      </c>
      <c r="K354" s="173">
        <f t="shared" ref="K354:L354" si="61">SUM(K355:K357)</f>
        <v>533119.83699059568</v>
      </c>
      <c r="L354" s="173">
        <f t="shared" si="61"/>
        <v>554444.58934169286</v>
      </c>
      <c r="M354" s="172"/>
    </row>
    <row r="355" spans="1:13" ht="16.5" x14ac:dyDescent="0.25">
      <c r="A355" s="414" t="s">
        <v>172</v>
      </c>
      <c r="B355" s="415"/>
      <c r="C355" s="415"/>
      <c r="D355" s="415"/>
      <c r="E355" s="415"/>
      <c r="F355" s="415"/>
      <c r="G355" s="415"/>
      <c r="H355" s="415"/>
      <c r="I355" s="416"/>
      <c r="J355" s="173">
        <f>1063234/638*0.9*80</f>
        <v>119988.78996865204</v>
      </c>
      <c r="K355" s="173">
        <f>1105763/638*0.9*80</f>
        <v>124788.30094043887</v>
      </c>
      <c r="L355" s="173">
        <f>1149994/638*0.9*80</f>
        <v>129779.88714733542</v>
      </c>
      <c r="M355" s="172"/>
    </row>
    <row r="356" spans="1:13" ht="16.5" x14ac:dyDescent="0.25">
      <c r="A356" s="414" t="s">
        <v>173</v>
      </c>
      <c r="B356" s="415"/>
      <c r="C356" s="415"/>
      <c r="D356" s="415"/>
      <c r="E356" s="415"/>
      <c r="F356" s="415"/>
      <c r="G356" s="415"/>
      <c r="H356" s="415"/>
      <c r="I356" s="416"/>
      <c r="J356" s="173">
        <f>3176838/638*0.5*80</f>
        <v>199174.79623824451</v>
      </c>
      <c r="K356" s="173">
        <f>3303912/638*0.5*80</f>
        <v>207141.81818181821</v>
      </c>
      <c r="L356" s="173">
        <f>3436068/638*0.5*80</f>
        <v>215427.46081504703</v>
      </c>
      <c r="M356" s="172"/>
    </row>
    <row r="357" spans="1:13" ht="16.5" x14ac:dyDescent="0.25">
      <c r="A357" s="414" t="s">
        <v>174</v>
      </c>
      <c r="B357" s="415"/>
      <c r="C357" s="415"/>
      <c r="D357" s="415"/>
      <c r="E357" s="415"/>
      <c r="F357" s="415"/>
      <c r="G357" s="415"/>
      <c r="H357" s="415"/>
      <c r="I357" s="416"/>
      <c r="J357" s="173">
        <f>1542777/638*80</f>
        <v>193451.66144200627</v>
      </c>
      <c r="K357" s="173">
        <f>1604488/638*80</f>
        <v>201189.71786833857</v>
      </c>
      <c r="L357" s="173">
        <f>1668667/638*80</f>
        <v>209237.24137931038</v>
      </c>
      <c r="M357" s="172"/>
    </row>
    <row r="358" spans="1:13" ht="16.5" x14ac:dyDescent="0.25">
      <c r="A358" s="414" t="s">
        <v>180</v>
      </c>
      <c r="B358" s="415"/>
      <c r="C358" s="415"/>
      <c r="D358" s="415"/>
      <c r="E358" s="415"/>
      <c r="F358" s="415"/>
      <c r="G358" s="415"/>
      <c r="H358" s="415"/>
      <c r="I358" s="416"/>
      <c r="J358" s="173">
        <v>13680</v>
      </c>
      <c r="K358" s="173">
        <v>22800</v>
      </c>
      <c r="L358" s="173">
        <v>32285</v>
      </c>
      <c r="M358" s="172"/>
    </row>
    <row r="359" spans="1:13" ht="16.5" x14ac:dyDescent="0.25">
      <c r="A359" s="414" t="s">
        <v>181</v>
      </c>
      <c r="B359" s="415"/>
      <c r="C359" s="415"/>
      <c r="D359" s="415"/>
      <c r="E359" s="415"/>
      <c r="F359" s="415"/>
      <c r="G359" s="415"/>
      <c r="H359" s="415"/>
      <c r="I359" s="416"/>
      <c r="J359" s="213"/>
      <c r="K359" s="173"/>
      <c r="L359" s="173"/>
      <c r="M359" s="172"/>
    </row>
    <row r="360" spans="1:13" ht="16.5" x14ac:dyDescent="0.25">
      <c r="A360" s="513" t="s">
        <v>295</v>
      </c>
      <c r="B360" s="514"/>
      <c r="C360" s="514"/>
      <c r="D360" s="514"/>
      <c r="E360" s="514"/>
      <c r="F360" s="514"/>
      <c r="G360" s="514"/>
      <c r="H360" s="514"/>
      <c r="I360" s="515"/>
      <c r="J360" s="173">
        <v>45751.8</v>
      </c>
      <c r="K360" s="173">
        <v>76254.8</v>
      </c>
      <c r="L360" s="173">
        <v>107979.8</v>
      </c>
      <c r="M360" s="172"/>
    </row>
    <row r="361" spans="1:13" ht="16.5" x14ac:dyDescent="0.25">
      <c r="A361" s="510" t="s">
        <v>300</v>
      </c>
      <c r="B361" s="511"/>
      <c r="C361" s="511"/>
      <c r="D361" s="511"/>
      <c r="E361" s="511"/>
      <c r="F361" s="511"/>
      <c r="G361" s="511"/>
      <c r="H361" s="511"/>
      <c r="I361" s="512"/>
      <c r="J361" s="200">
        <f>218909.52+348535.62+71753.4-J354</f>
        <v>126583.29235109722</v>
      </c>
      <c r="K361" s="200">
        <f>218909.52+580892.62+19590.4-K354</f>
        <v>286272.70300940436</v>
      </c>
      <c r="L361" s="200">
        <f>218909.52+822543.62+69342.4-L354</f>
        <v>556350.95065830718</v>
      </c>
      <c r="M361" s="172"/>
    </row>
    <row r="362" spans="1:13" ht="16.5" x14ac:dyDescent="0.25">
      <c r="A362" s="452" t="s">
        <v>183</v>
      </c>
      <c r="B362" s="453"/>
      <c r="C362" s="453"/>
      <c r="D362" s="453"/>
      <c r="E362" s="453"/>
      <c r="F362" s="453"/>
      <c r="G362" s="453"/>
      <c r="H362" s="453"/>
      <c r="I362" s="454"/>
      <c r="J362" s="247">
        <f>J348+J352</f>
        <v>4402362</v>
      </c>
      <c r="K362" s="247">
        <f t="shared" ref="K362:L362" si="62">K348+K352</f>
        <v>4741148.4000000004</v>
      </c>
      <c r="L362" s="247">
        <f t="shared" si="62"/>
        <v>5111807.4400000004</v>
      </c>
      <c r="M362" s="227"/>
    </row>
    <row r="363" spans="1:13" ht="16.5" x14ac:dyDescent="0.25">
      <c r="A363" s="414" t="s">
        <v>355</v>
      </c>
      <c r="B363" s="415"/>
      <c r="C363" s="415"/>
      <c r="D363" s="415"/>
      <c r="E363" s="415"/>
      <c r="F363" s="415"/>
      <c r="G363" s="415"/>
      <c r="H363" s="415"/>
      <c r="I363" s="416"/>
      <c r="J363" s="200">
        <f>J362/H364</f>
        <v>25156.354285714286</v>
      </c>
      <c r="K363" s="200">
        <f>K362/H364</f>
        <v>27092.276571428574</v>
      </c>
      <c r="L363" s="200">
        <f>L362/H364</f>
        <v>29210.32822857143</v>
      </c>
      <c r="M363" s="167"/>
    </row>
    <row r="364" spans="1:13" ht="16.5" x14ac:dyDescent="0.25">
      <c r="A364" s="232"/>
      <c r="B364" s="232"/>
      <c r="C364" s="232"/>
      <c r="D364" s="232"/>
      <c r="E364" s="232"/>
      <c r="F364" s="232"/>
      <c r="G364" s="232"/>
      <c r="H364" s="232">
        <v>175</v>
      </c>
      <c r="I364" s="232"/>
      <c r="J364" s="232"/>
      <c r="K364" s="232"/>
      <c r="L364" s="232"/>
      <c r="M364" s="232"/>
    </row>
    <row r="367" spans="1:13" ht="16.5" x14ac:dyDescent="0.25">
      <c r="A367" s="169"/>
      <c r="B367" s="169"/>
      <c r="C367" s="169"/>
      <c r="D367" s="169"/>
      <c r="E367" s="169"/>
      <c r="F367" s="169"/>
      <c r="G367" s="169"/>
      <c r="H367" s="169"/>
      <c r="I367" s="169"/>
      <c r="J367" s="211"/>
      <c r="K367" s="169" t="s">
        <v>397</v>
      </c>
      <c r="L367" s="169"/>
      <c r="M367" s="169"/>
    </row>
    <row r="368" spans="1:13" ht="16.5" x14ac:dyDescent="0.25">
      <c r="A368" s="531" t="s">
        <v>396</v>
      </c>
      <c r="B368" s="531"/>
      <c r="C368" s="531"/>
      <c r="D368" s="531"/>
      <c r="E368" s="531"/>
      <c r="F368" s="531"/>
      <c r="G368" s="531"/>
      <c r="H368" s="531"/>
      <c r="I368" s="531"/>
      <c r="J368" s="531"/>
      <c r="K368" s="531"/>
      <c r="L368" s="531"/>
      <c r="M368" s="531"/>
    </row>
    <row r="369" spans="1:13" ht="33" x14ac:dyDescent="0.25">
      <c r="A369" s="469" t="s">
        <v>390</v>
      </c>
      <c r="B369" s="470"/>
      <c r="C369" s="470"/>
      <c r="D369" s="470"/>
      <c r="E369" s="470"/>
      <c r="F369" s="470"/>
      <c r="G369" s="470"/>
      <c r="H369" s="470"/>
      <c r="I369" s="471"/>
      <c r="J369" s="164" t="s">
        <v>392</v>
      </c>
      <c r="K369" s="246">
        <v>2024</v>
      </c>
      <c r="L369" s="246">
        <v>2025</v>
      </c>
      <c r="M369" s="164"/>
    </row>
    <row r="370" spans="1:13" ht="16.5" x14ac:dyDescent="0.25">
      <c r="A370" s="455" t="s">
        <v>170</v>
      </c>
      <c r="B370" s="456"/>
      <c r="C370" s="456"/>
      <c r="D370" s="456"/>
      <c r="E370" s="456"/>
      <c r="F370" s="456"/>
      <c r="G370" s="456"/>
      <c r="H370" s="456"/>
      <c r="I370" s="457"/>
      <c r="J370" s="175">
        <f>SUM(J371:J373)</f>
        <v>0</v>
      </c>
      <c r="K370" s="175">
        <f t="shared" ref="K370" si="63">SUM(K371:K373)</f>
        <v>0</v>
      </c>
      <c r="L370" s="175">
        <f t="shared" ref="L370" si="64">SUM(L371:L373)</f>
        <v>0</v>
      </c>
      <c r="M370" s="204"/>
    </row>
    <row r="371" spans="1:13" ht="16.5" x14ac:dyDescent="0.25">
      <c r="A371" s="510" t="s">
        <v>178</v>
      </c>
      <c r="B371" s="511"/>
      <c r="C371" s="511"/>
      <c r="D371" s="511"/>
      <c r="E371" s="511"/>
      <c r="F371" s="511"/>
      <c r="G371" s="511"/>
      <c r="H371" s="511"/>
      <c r="I371" s="512"/>
      <c r="J371" s="168"/>
      <c r="K371" s="168"/>
      <c r="L371" s="168"/>
      <c r="M371" s="172"/>
    </row>
    <row r="372" spans="1:13" ht="16.5" x14ac:dyDescent="0.25">
      <c r="A372" s="510" t="s">
        <v>297</v>
      </c>
      <c r="B372" s="511"/>
      <c r="C372" s="511"/>
      <c r="D372" s="511"/>
      <c r="E372" s="511"/>
      <c r="F372" s="511"/>
      <c r="G372" s="511"/>
      <c r="H372" s="511"/>
      <c r="I372" s="512"/>
      <c r="J372" s="168"/>
      <c r="K372" s="168"/>
      <c r="L372" s="168"/>
      <c r="M372" s="172"/>
    </row>
    <row r="373" spans="1:13" ht="16.5" x14ac:dyDescent="0.25">
      <c r="A373" s="414" t="s">
        <v>175</v>
      </c>
      <c r="B373" s="415"/>
      <c r="C373" s="415"/>
      <c r="D373" s="415"/>
      <c r="E373" s="415"/>
      <c r="F373" s="415"/>
      <c r="G373" s="415"/>
      <c r="H373" s="415"/>
      <c r="I373" s="416"/>
      <c r="J373" s="169"/>
      <c r="K373" s="168"/>
      <c r="L373" s="168"/>
      <c r="M373" s="172"/>
    </row>
    <row r="374" spans="1:13" ht="16.5" x14ac:dyDescent="0.25">
      <c r="A374" s="519" t="s">
        <v>177</v>
      </c>
      <c r="B374" s="520"/>
      <c r="C374" s="520"/>
      <c r="D374" s="520"/>
      <c r="E374" s="520"/>
      <c r="F374" s="520"/>
      <c r="G374" s="520"/>
      <c r="H374" s="520"/>
      <c r="I374" s="521"/>
      <c r="J374" s="175">
        <v>400000</v>
      </c>
      <c r="K374" s="175">
        <v>412000</v>
      </c>
      <c r="L374" s="175">
        <v>418590</v>
      </c>
      <c r="M374" s="204"/>
    </row>
    <row r="375" spans="1:13" ht="16.5" x14ac:dyDescent="0.25">
      <c r="A375" s="510" t="s">
        <v>179</v>
      </c>
      <c r="B375" s="511"/>
      <c r="C375" s="511"/>
      <c r="D375" s="511"/>
      <c r="E375" s="511"/>
      <c r="F375" s="511"/>
      <c r="G375" s="511"/>
      <c r="H375" s="511"/>
      <c r="I375" s="512"/>
      <c r="J375" s="168"/>
      <c r="K375" s="168"/>
      <c r="L375" s="168"/>
      <c r="M375" s="172"/>
    </row>
    <row r="376" spans="1:13" ht="16.5" x14ac:dyDescent="0.25">
      <c r="A376" s="414" t="s">
        <v>171</v>
      </c>
      <c r="B376" s="415"/>
      <c r="C376" s="415"/>
      <c r="D376" s="415"/>
      <c r="E376" s="415"/>
      <c r="F376" s="415"/>
      <c r="G376" s="415"/>
      <c r="H376" s="415"/>
      <c r="I376" s="416"/>
      <c r="J376" s="168"/>
      <c r="K376" s="168"/>
      <c r="L376" s="168"/>
      <c r="M376" s="172"/>
    </row>
    <row r="377" spans="1:13" ht="16.5" x14ac:dyDescent="0.25">
      <c r="A377" s="414" t="s">
        <v>172</v>
      </c>
      <c r="B377" s="415"/>
      <c r="C377" s="415"/>
      <c r="D377" s="415"/>
      <c r="E377" s="415"/>
      <c r="F377" s="415"/>
      <c r="G377" s="415"/>
      <c r="H377" s="415"/>
      <c r="I377" s="416"/>
      <c r="J377" s="168"/>
      <c r="K377" s="168"/>
      <c r="L377" s="168"/>
      <c r="M377" s="172"/>
    </row>
    <row r="378" spans="1:13" ht="16.5" x14ac:dyDescent="0.25">
      <c r="A378" s="414" t="s">
        <v>173</v>
      </c>
      <c r="B378" s="415"/>
      <c r="C378" s="415"/>
      <c r="D378" s="415"/>
      <c r="E378" s="415"/>
      <c r="F378" s="415"/>
      <c r="G378" s="415"/>
      <c r="H378" s="415"/>
      <c r="I378" s="416"/>
      <c r="J378" s="168"/>
      <c r="K378" s="168"/>
      <c r="L378" s="168"/>
      <c r="M378" s="172"/>
    </row>
    <row r="379" spans="1:13" ht="16.5" x14ac:dyDescent="0.25">
      <c r="A379" s="414" t="s">
        <v>174</v>
      </c>
      <c r="B379" s="415"/>
      <c r="C379" s="415"/>
      <c r="D379" s="415"/>
      <c r="E379" s="415"/>
      <c r="F379" s="415"/>
      <c r="G379" s="415"/>
      <c r="H379" s="415"/>
      <c r="I379" s="416"/>
      <c r="J379" s="168"/>
      <c r="K379" s="168"/>
      <c r="L379" s="168"/>
      <c r="M379" s="172"/>
    </row>
    <row r="380" spans="1:13" ht="16.5" x14ac:dyDescent="0.25">
      <c r="A380" s="414" t="s">
        <v>180</v>
      </c>
      <c r="B380" s="415"/>
      <c r="C380" s="415"/>
      <c r="D380" s="415"/>
      <c r="E380" s="415"/>
      <c r="F380" s="415"/>
      <c r="G380" s="415"/>
      <c r="H380" s="415"/>
      <c r="I380" s="416"/>
      <c r="J380" s="168"/>
      <c r="K380" s="168"/>
      <c r="L380" s="168"/>
      <c r="M380" s="172"/>
    </row>
    <row r="381" spans="1:13" ht="16.5" x14ac:dyDescent="0.25">
      <c r="A381" s="414" t="s">
        <v>181</v>
      </c>
      <c r="B381" s="415"/>
      <c r="C381" s="415"/>
      <c r="D381" s="415"/>
      <c r="E381" s="415"/>
      <c r="F381" s="415"/>
      <c r="G381" s="415"/>
      <c r="H381" s="415"/>
      <c r="I381" s="416"/>
      <c r="J381" s="176"/>
      <c r="K381" s="168"/>
      <c r="L381" s="168"/>
      <c r="M381" s="172"/>
    </row>
    <row r="382" spans="1:13" ht="16.5" x14ac:dyDescent="0.25">
      <c r="A382" s="513" t="s">
        <v>295</v>
      </c>
      <c r="B382" s="514"/>
      <c r="C382" s="514"/>
      <c r="D382" s="514"/>
      <c r="E382" s="514"/>
      <c r="F382" s="514"/>
      <c r="G382" s="514"/>
      <c r="H382" s="514"/>
      <c r="I382" s="515"/>
      <c r="J382" s="168"/>
      <c r="K382" s="168"/>
      <c r="L382" s="168"/>
      <c r="M382" s="172"/>
    </row>
    <row r="383" spans="1:13" ht="16.5" x14ac:dyDescent="0.25">
      <c r="A383" s="510" t="s">
        <v>300</v>
      </c>
      <c r="B383" s="511"/>
      <c r="C383" s="511"/>
      <c r="D383" s="511"/>
      <c r="E383" s="511"/>
      <c r="F383" s="511"/>
      <c r="G383" s="511"/>
      <c r="H383" s="511"/>
      <c r="I383" s="512"/>
      <c r="J383" s="167"/>
      <c r="K383" s="167"/>
      <c r="L383" s="167"/>
      <c r="M383" s="172"/>
    </row>
    <row r="384" spans="1:13" ht="16.5" x14ac:dyDescent="0.25">
      <c r="A384" s="452" t="s">
        <v>183</v>
      </c>
      <c r="B384" s="453"/>
      <c r="C384" s="453"/>
      <c r="D384" s="453"/>
      <c r="E384" s="453"/>
      <c r="F384" s="453"/>
      <c r="G384" s="453"/>
      <c r="H384" s="453"/>
      <c r="I384" s="454"/>
      <c r="J384" s="227">
        <f>J370+J374</f>
        <v>400000</v>
      </c>
      <c r="K384" s="227">
        <f t="shared" ref="K384:L384" si="65">K370+K374</f>
        <v>412000</v>
      </c>
      <c r="L384" s="227">
        <f t="shared" si="65"/>
        <v>418590</v>
      </c>
      <c r="M384" s="175"/>
    </row>
    <row r="385" spans="1:13" ht="16.5" x14ac:dyDescent="0.25">
      <c r="A385" s="414" t="s">
        <v>398</v>
      </c>
      <c r="B385" s="415"/>
      <c r="C385" s="415"/>
      <c r="D385" s="415"/>
      <c r="E385" s="415"/>
      <c r="F385" s="415"/>
      <c r="G385" s="415"/>
      <c r="H385" s="415"/>
      <c r="I385" s="416"/>
      <c r="J385" s="167">
        <f>J384/H386</f>
        <v>16666.666666666668</v>
      </c>
      <c r="K385" s="167">
        <f>K384/H386</f>
        <v>17166.666666666668</v>
      </c>
      <c r="L385" s="167">
        <f>L384/H386</f>
        <v>17441.25</v>
      </c>
      <c r="M385" s="167"/>
    </row>
    <row r="386" spans="1:13" x14ac:dyDescent="0.25">
      <c r="H386">
        <v>24</v>
      </c>
    </row>
    <row r="388" spans="1:13" ht="16.5" x14ac:dyDescent="0.25">
      <c r="A388" s="169"/>
      <c r="B388" s="169"/>
      <c r="C388" s="169"/>
      <c r="D388" s="169"/>
      <c r="E388" s="169"/>
      <c r="F388" s="169"/>
      <c r="G388" s="169"/>
      <c r="H388" s="169"/>
      <c r="I388" s="169"/>
      <c r="J388" s="211"/>
      <c r="K388" s="169" t="s">
        <v>400</v>
      </c>
      <c r="L388" s="169"/>
      <c r="M388" s="169"/>
    </row>
    <row r="389" spans="1:13" ht="16.5" customHeight="1" x14ac:dyDescent="0.25">
      <c r="A389" s="531" t="s">
        <v>399</v>
      </c>
      <c r="B389" s="531"/>
      <c r="C389" s="531"/>
      <c r="D389" s="531"/>
      <c r="E389" s="531"/>
      <c r="F389" s="531"/>
      <c r="G389" s="531"/>
      <c r="H389" s="531"/>
      <c r="I389" s="531"/>
      <c r="J389" s="531"/>
      <c r="K389" s="531"/>
      <c r="L389" s="531"/>
      <c r="M389" s="531"/>
    </row>
    <row r="390" spans="1:13" ht="33" x14ac:dyDescent="0.25">
      <c r="A390" s="469" t="s">
        <v>390</v>
      </c>
      <c r="B390" s="470"/>
      <c r="C390" s="470"/>
      <c r="D390" s="470"/>
      <c r="E390" s="470"/>
      <c r="F390" s="470"/>
      <c r="G390" s="470"/>
      <c r="H390" s="470"/>
      <c r="I390" s="471"/>
      <c r="J390" s="164" t="s">
        <v>392</v>
      </c>
      <c r="K390" s="246">
        <v>2024</v>
      </c>
      <c r="L390" s="246">
        <v>2025</v>
      </c>
      <c r="M390" s="164"/>
    </row>
    <row r="391" spans="1:13" ht="16.5" x14ac:dyDescent="0.25">
      <c r="A391" s="455" t="s">
        <v>170</v>
      </c>
      <c r="B391" s="456"/>
      <c r="C391" s="456"/>
      <c r="D391" s="456"/>
      <c r="E391" s="456"/>
      <c r="F391" s="456"/>
      <c r="G391" s="456"/>
      <c r="H391" s="456"/>
      <c r="I391" s="457"/>
      <c r="J391" s="175">
        <f>SUM(J392:J394)</f>
        <v>0</v>
      </c>
      <c r="K391" s="175">
        <f t="shared" ref="K391" si="66">SUM(K392:K394)</f>
        <v>0</v>
      </c>
      <c r="L391" s="175">
        <f t="shared" ref="L391" si="67">SUM(L392:L394)</f>
        <v>0</v>
      </c>
      <c r="M391" s="204"/>
    </row>
    <row r="392" spans="1:13" ht="16.5" x14ac:dyDescent="0.25">
      <c r="A392" s="510" t="s">
        <v>178</v>
      </c>
      <c r="B392" s="511"/>
      <c r="C392" s="511"/>
      <c r="D392" s="511"/>
      <c r="E392" s="511"/>
      <c r="F392" s="511"/>
      <c r="G392" s="511"/>
      <c r="H392" s="511"/>
      <c r="I392" s="512"/>
      <c r="J392" s="168"/>
      <c r="K392" s="168"/>
      <c r="L392" s="168"/>
      <c r="M392" s="172"/>
    </row>
    <row r="393" spans="1:13" ht="16.5" x14ac:dyDescent="0.25">
      <c r="A393" s="510" t="s">
        <v>297</v>
      </c>
      <c r="B393" s="511"/>
      <c r="C393" s="511"/>
      <c r="D393" s="511"/>
      <c r="E393" s="511"/>
      <c r="F393" s="511"/>
      <c r="G393" s="511"/>
      <c r="H393" s="511"/>
      <c r="I393" s="512"/>
      <c r="J393" s="168"/>
      <c r="K393" s="168"/>
      <c r="L393" s="168"/>
      <c r="M393" s="172"/>
    </row>
    <row r="394" spans="1:13" ht="16.5" x14ac:dyDescent="0.25">
      <c r="A394" s="414" t="s">
        <v>175</v>
      </c>
      <c r="B394" s="415"/>
      <c r="C394" s="415"/>
      <c r="D394" s="415"/>
      <c r="E394" s="415"/>
      <c r="F394" s="415"/>
      <c r="G394" s="415"/>
      <c r="H394" s="415"/>
      <c r="I394" s="416"/>
      <c r="J394" s="169"/>
      <c r="K394" s="168"/>
      <c r="L394" s="168"/>
      <c r="M394" s="172"/>
    </row>
    <row r="395" spans="1:13" ht="16.5" x14ac:dyDescent="0.25">
      <c r="A395" s="519" t="s">
        <v>177</v>
      </c>
      <c r="B395" s="520"/>
      <c r="C395" s="520"/>
      <c r="D395" s="520"/>
      <c r="E395" s="520"/>
      <c r="F395" s="520"/>
      <c r="G395" s="520"/>
      <c r="H395" s="520"/>
      <c r="I395" s="521"/>
      <c r="J395" s="175">
        <v>500000</v>
      </c>
      <c r="K395" s="175">
        <v>579000</v>
      </c>
      <c r="L395" s="175">
        <v>636600</v>
      </c>
      <c r="M395" s="204"/>
    </row>
    <row r="396" spans="1:13" ht="16.5" x14ac:dyDescent="0.25">
      <c r="A396" s="510" t="s">
        <v>179</v>
      </c>
      <c r="B396" s="511"/>
      <c r="C396" s="511"/>
      <c r="D396" s="511"/>
      <c r="E396" s="511"/>
      <c r="F396" s="511"/>
      <c r="G396" s="511"/>
      <c r="H396" s="511"/>
      <c r="I396" s="512"/>
      <c r="J396" s="168"/>
      <c r="K396" s="168"/>
      <c r="L396" s="168"/>
      <c r="M396" s="172"/>
    </row>
    <row r="397" spans="1:13" ht="16.5" x14ac:dyDescent="0.25">
      <c r="A397" s="414" t="s">
        <v>171</v>
      </c>
      <c r="B397" s="415"/>
      <c r="C397" s="415"/>
      <c r="D397" s="415"/>
      <c r="E397" s="415"/>
      <c r="F397" s="415"/>
      <c r="G397" s="415"/>
      <c r="H397" s="415"/>
      <c r="I397" s="416"/>
      <c r="J397" s="168"/>
      <c r="K397" s="168"/>
      <c r="L397" s="168"/>
      <c r="M397" s="172"/>
    </row>
    <row r="398" spans="1:13" ht="16.5" x14ac:dyDescent="0.25">
      <c r="A398" s="414" t="s">
        <v>172</v>
      </c>
      <c r="B398" s="415"/>
      <c r="C398" s="415"/>
      <c r="D398" s="415"/>
      <c r="E398" s="415"/>
      <c r="F398" s="415"/>
      <c r="G398" s="415"/>
      <c r="H398" s="415"/>
      <c r="I398" s="416"/>
      <c r="J398" s="168"/>
      <c r="K398" s="168"/>
      <c r="L398" s="168"/>
      <c r="M398" s="172"/>
    </row>
    <row r="399" spans="1:13" ht="16.5" x14ac:dyDescent="0.25">
      <c r="A399" s="414" t="s">
        <v>173</v>
      </c>
      <c r="B399" s="415"/>
      <c r="C399" s="415"/>
      <c r="D399" s="415"/>
      <c r="E399" s="415"/>
      <c r="F399" s="415"/>
      <c r="G399" s="415"/>
      <c r="H399" s="415"/>
      <c r="I399" s="416"/>
      <c r="J399" s="168"/>
      <c r="K399" s="168"/>
      <c r="L399" s="168"/>
      <c r="M399" s="172"/>
    </row>
    <row r="400" spans="1:13" ht="16.5" x14ac:dyDescent="0.25">
      <c r="A400" s="414" t="s">
        <v>174</v>
      </c>
      <c r="B400" s="415"/>
      <c r="C400" s="415"/>
      <c r="D400" s="415"/>
      <c r="E400" s="415"/>
      <c r="F400" s="415"/>
      <c r="G400" s="415"/>
      <c r="H400" s="415"/>
      <c r="I400" s="416"/>
      <c r="J400" s="168"/>
      <c r="K400" s="168"/>
      <c r="L400" s="168"/>
      <c r="M400" s="172"/>
    </row>
    <row r="401" spans="1:13" ht="16.5" x14ac:dyDescent="0.25">
      <c r="A401" s="414" t="s">
        <v>180</v>
      </c>
      <c r="B401" s="415"/>
      <c r="C401" s="415"/>
      <c r="D401" s="415"/>
      <c r="E401" s="415"/>
      <c r="F401" s="415"/>
      <c r="G401" s="415"/>
      <c r="H401" s="415"/>
      <c r="I401" s="416"/>
      <c r="J401" s="168"/>
      <c r="K401" s="168"/>
      <c r="L401" s="168"/>
      <c r="M401" s="172"/>
    </row>
    <row r="402" spans="1:13" ht="16.5" x14ac:dyDescent="0.25">
      <c r="A402" s="414" t="s">
        <v>181</v>
      </c>
      <c r="B402" s="415"/>
      <c r="C402" s="415"/>
      <c r="D402" s="415"/>
      <c r="E402" s="415"/>
      <c r="F402" s="415"/>
      <c r="G402" s="415"/>
      <c r="H402" s="415"/>
      <c r="I402" s="416"/>
      <c r="J402" s="176"/>
      <c r="K402" s="168"/>
      <c r="L402" s="168"/>
      <c r="M402" s="172"/>
    </row>
    <row r="403" spans="1:13" ht="16.5" x14ac:dyDescent="0.25">
      <c r="A403" s="513" t="s">
        <v>295</v>
      </c>
      <c r="B403" s="514"/>
      <c r="C403" s="514"/>
      <c r="D403" s="514"/>
      <c r="E403" s="514"/>
      <c r="F403" s="514"/>
      <c r="G403" s="514"/>
      <c r="H403" s="514"/>
      <c r="I403" s="515"/>
      <c r="J403" s="168"/>
      <c r="K403" s="168"/>
      <c r="L403" s="168"/>
      <c r="M403" s="172"/>
    </row>
    <row r="404" spans="1:13" ht="16.5" x14ac:dyDescent="0.25">
      <c r="A404" s="510" t="s">
        <v>300</v>
      </c>
      <c r="B404" s="511"/>
      <c r="C404" s="511"/>
      <c r="D404" s="511"/>
      <c r="E404" s="511"/>
      <c r="F404" s="511"/>
      <c r="G404" s="511"/>
      <c r="H404" s="511"/>
      <c r="I404" s="512"/>
      <c r="J404" s="167"/>
      <c r="K404" s="167"/>
      <c r="L404" s="167"/>
      <c r="M404" s="172"/>
    </row>
    <row r="405" spans="1:13" ht="16.5" x14ac:dyDescent="0.25">
      <c r="A405" s="452" t="s">
        <v>183</v>
      </c>
      <c r="B405" s="453"/>
      <c r="C405" s="453"/>
      <c r="D405" s="453"/>
      <c r="E405" s="453"/>
      <c r="F405" s="453"/>
      <c r="G405" s="453"/>
      <c r="H405" s="453"/>
      <c r="I405" s="454"/>
      <c r="J405" s="227">
        <f>J391+J395</f>
        <v>500000</v>
      </c>
      <c r="K405" s="227">
        <f>K395</f>
        <v>579000</v>
      </c>
      <c r="L405" s="227">
        <f t="shared" ref="L405" si="68">L391+L395</f>
        <v>636600</v>
      </c>
      <c r="M405" s="175"/>
    </row>
    <row r="406" spans="1:13" ht="16.5" x14ac:dyDescent="0.25">
      <c r="A406" s="414" t="s">
        <v>398</v>
      </c>
      <c r="B406" s="415"/>
      <c r="C406" s="415"/>
      <c r="D406" s="415"/>
      <c r="E406" s="415"/>
      <c r="F406" s="415"/>
      <c r="G406" s="415"/>
      <c r="H406" s="415"/>
      <c r="I406" s="416"/>
      <c r="J406" s="167">
        <f>J405/H407</f>
        <v>50000</v>
      </c>
      <c r="K406" s="167">
        <f>K405/H407</f>
        <v>57900</v>
      </c>
      <c r="L406" s="167">
        <f>L405/H407</f>
        <v>63660</v>
      </c>
      <c r="M406" s="167"/>
    </row>
    <row r="407" spans="1:13" x14ac:dyDescent="0.25">
      <c r="H407">
        <v>10</v>
      </c>
    </row>
    <row r="409" spans="1:13" ht="16.5" x14ac:dyDescent="0.25">
      <c r="A409" s="169"/>
      <c r="B409" s="169"/>
      <c r="C409" s="169"/>
      <c r="D409" s="169"/>
      <c r="E409" s="169"/>
      <c r="F409" s="169"/>
      <c r="G409" s="169"/>
      <c r="H409" s="169"/>
      <c r="I409" s="169"/>
      <c r="J409" s="211"/>
      <c r="K409" s="169" t="s">
        <v>402</v>
      </c>
      <c r="L409" s="169"/>
      <c r="M409" s="169"/>
    </row>
    <row r="410" spans="1:13" ht="16.5" customHeight="1" x14ac:dyDescent="0.25">
      <c r="A410" s="531" t="s">
        <v>401</v>
      </c>
      <c r="B410" s="531"/>
      <c r="C410" s="531"/>
      <c r="D410" s="531"/>
      <c r="E410" s="531"/>
      <c r="F410" s="531"/>
      <c r="G410" s="531"/>
      <c r="H410" s="531"/>
      <c r="I410" s="531"/>
      <c r="J410" s="531"/>
      <c r="K410" s="531"/>
      <c r="L410" s="531"/>
      <c r="M410" s="531"/>
    </row>
    <row r="411" spans="1:13" ht="33" x14ac:dyDescent="0.25">
      <c r="A411" s="469" t="s">
        <v>390</v>
      </c>
      <c r="B411" s="470"/>
      <c r="C411" s="470"/>
      <c r="D411" s="470"/>
      <c r="E411" s="470"/>
      <c r="F411" s="470"/>
      <c r="G411" s="470"/>
      <c r="H411" s="470"/>
      <c r="I411" s="471"/>
      <c r="J411" s="164" t="s">
        <v>392</v>
      </c>
      <c r="K411" s="246">
        <v>2024</v>
      </c>
      <c r="L411" s="246">
        <v>2025</v>
      </c>
      <c r="M411" s="164"/>
    </row>
    <row r="412" spans="1:13" ht="16.5" x14ac:dyDescent="0.25">
      <c r="A412" s="455" t="s">
        <v>170</v>
      </c>
      <c r="B412" s="456"/>
      <c r="C412" s="456"/>
      <c r="D412" s="456"/>
      <c r="E412" s="456"/>
      <c r="F412" s="456"/>
      <c r="G412" s="456"/>
      <c r="H412" s="456"/>
      <c r="I412" s="457"/>
      <c r="J412" s="175">
        <f>SUM(J413:J415)</f>
        <v>0</v>
      </c>
      <c r="K412" s="175">
        <f t="shared" ref="K412" si="69">SUM(K413:K415)</f>
        <v>0</v>
      </c>
      <c r="L412" s="175">
        <f t="shared" ref="L412" si="70">SUM(L413:L415)</f>
        <v>0</v>
      </c>
      <c r="M412" s="204"/>
    </row>
    <row r="413" spans="1:13" ht="16.5" x14ac:dyDescent="0.25">
      <c r="A413" s="510" t="s">
        <v>178</v>
      </c>
      <c r="B413" s="511"/>
      <c r="C413" s="511"/>
      <c r="D413" s="511"/>
      <c r="E413" s="511"/>
      <c r="F413" s="511"/>
      <c r="G413" s="511"/>
      <c r="H413" s="511"/>
      <c r="I413" s="512"/>
      <c r="J413" s="168"/>
      <c r="K413" s="168"/>
      <c r="L413" s="168"/>
      <c r="M413" s="172"/>
    </row>
    <row r="414" spans="1:13" ht="16.5" x14ac:dyDescent="0.25">
      <c r="A414" s="510" t="s">
        <v>297</v>
      </c>
      <c r="B414" s="511"/>
      <c r="C414" s="511"/>
      <c r="D414" s="511"/>
      <c r="E414" s="511"/>
      <c r="F414" s="511"/>
      <c r="G414" s="511"/>
      <c r="H414" s="511"/>
      <c r="I414" s="512"/>
      <c r="J414" s="168"/>
      <c r="K414" s="168"/>
      <c r="L414" s="168"/>
      <c r="M414" s="172"/>
    </row>
    <row r="415" spans="1:13" ht="16.5" x14ac:dyDescent="0.25">
      <c r="A415" s="414" t="s">
        <v>175</v>
      </c>
      <c r="B415" s="415"/>
      <c r="C415" s="415"/>
      <c r="D415" s="415"/>
      <c r="E415" s="415"/>
      <c r="F415" s="415"/>
      <c r="G415" s="415"/>
      <c r="H415" s="415"/>
      <c r="I415" s="416"/>
      <c r="J415" s="169"/>
      <c r="K415" s="168"/>
      <c r="L415" s="168"/>
      <c r="M415" s="172"/>
    </row>
    <row r="416" spans="1:13" ht="16.5" x14ac:dyDescent="0.25">
      <c r="A416" s="519" t="s">
        <v>177</v>
      </c>
      <c r="B416" s="520"/>
      <c r="C416" s="520"/>
      <c r="D416" s="520"/>
      <c r="E416" s="520"/>
      <c r="F416" s="520"/>
      <c r="G416" s="520"/>
      <c r="H416" s="520"/>
      <c r="I416" s="521"/>
      <c r="J416" s="175">
        <v>2000000</v>
      </c>
      <c r="K416" s="175">
        <v>2000000</v>
      </c>
      <c r="L416" s="175">
        <v>2032000</v>
      </c>
      <c r="M416" s="204"/>
    </row>
    <row r="417" spans="1:13" ht="16.5" x14ac:dyDescent="0.25">
      <c r="A417" s="510" t="s">
        <v>179</v>
      </c>
      <c r="B417" s="511"/>
      <c r="C417" s="511"/>
      <c r="D417" s="511"/>
      <c r="E417" s="511"/>
      <c r="F417" s="511"/>
      <c r="G417" s="511"/>
      <c r="H417" s="511"/>
      <c r="I417" s="512"/>
      <c r="J417" s="168"/>
      <c r="K417" s="168"/>
      <c r="L417" s="168"/>
      <c r="M417" s="172"/>
    </row>
    <row r="418" spans="1:13" ht="16.5" x14ac:dyDescent="0.25">
      <c r="A418" s="414" t="s">
        <v>171</v>
      </c>
      <c r="B418" s="415"/>
      <c r="C418" s="415"/>
      <c r="D418" s="415"/>
      <c r="E418" s="415"/>
      <c r="F418" s="415"/>
      <c r="G418" s="415"/>
      <c r="H418" s="415"/>
      <c r="I418" s="416"/>
      <c r="J418" s="168"/>
      <c r="K418" s="168"/>
      <c r="L418" s="168"/>
      <c r="M418" s="172"/>
    </row>
    <row r="419" spans="1:13" ht="16.5" x14ac:dyDescent="0.25">
      <c r="A419" s="414" t="s">
        <v>172</v>
      </c>
      <c r="B419" s="415"/>
      <c r="C419" s="415"/>
      <c r="D419" s="415"/>
      <c r="E419" s="415"/>
      <c r="F419" s="415"/>
      <c r="G419" s="415"/>
      <c r="H419" s="415"/>
      <c r="I419" s="416"/>
      <c r="J419" s="168"/>
      <c r="K419" s="168"/>
      <c r="L419" s="168"/>
      <c r="M419" s="172"/>
    </row>
    <row r="420" spans="1:13" ht="16.5" x14ac:dyDescent="0.25">
      <c r="A420" s="414" t="s">
        <v>173</v>
      </c>
      <c r="B420" s="415"/>
      <c r="C420" s="415"/>
      <c r="D420" s="415"/>
      <c r="E420" s="415"/>
      <c r="F420" s="415"/>
      <c r="G420" s="415"/>
      <c r="H420" s="415"/>
      <c r="I420" s="416"/>
      <c r="J420" s="168"/>
      <c r="K420" s="168"/>
      <c r="L420" s="168"/>
      <c r="M420" s="172"/>
    </row>
    <row r="421" spans="1:13" ht="16.5" x14ac:dyDescent="0.25">
      <c r="A421" s="414" t="s">
        <v>174</v>
      </c>
      <c r="B421" s="415"/>
      <c r="C421" s="415"/>
      <c r="D421" s="415"/>
      <c r="E421" s="415"/>
      <c r="F421" s="415"/>
      <c r="G421" s="415"/>
      <c r="H421" s="415"/>
      <c r="I421" s="416"/>
      <c r="J421" s="168"/>
      <c r="K421" s="168"/>
      <c r="L421" s="168"/>
      <c r="M421" s="172"/>
    </row>
    <row r="422" spans="1:13" ht="16.5" x14ac:dyDescent="0.25">
      <c r="A422" s="414" t="s">
        <v>180</v>
      </c>
      <c r="B422" s="415"/>
      <c r="C422" s="415"/>
      <c r="D422" s="415"/>
      <c r="E422" s="415"/>
      <c r="F422" s="415"/>
      <c r="G422" s="415"/>
      <c r="H422" s="415"/>
      <c r="I422" s="416"/>
      <c r="J422" s="168"/>
      <c r="K422" s="168"/>
      <c r="L422" s="168"/>
      <c r="M422" s="172"/>
    </row>
    <row r="423" spans="1:13" ht="16.5" x14ac:dyDescent="0.25">
      <c r="A423" s="414" t="s">
        <v>181</v>
      </c>
      <c r="B423" s="415"/>
      <c r="C423" s="415"/>
      <c r="D423" s="415"/>
      <c r="E423" s="415"/>
      <c r="F423" s="415"/>
      <c r="G423" s="415"/>
      <c r="H423" s="415"/>
      <c r="I423" s="416"/>
      <c r="J423" s="176"/>
      <c r="K423" s="168"/>
      <c r="L423" s="168"/>
      <c r="M423" s="172"/>
    </row>
    <row r="424" spans="1:13" ht="16.5" x14ac:dyDescent="0.25">
      <c r="A424" s="513" t="s">
        <v>295</v>
      </c>
      <c r="B424" s="514"/>
      <c r="C424" s="514"/>
      <c r="D424" s="514"/>
      <c r="E424" s="514"/>
      <c r="F424" s="514"/>
      <c r="G424" s="514"/>
      <c r="H424" s="514"/>
      <c r="I424" s="515"/>
      <c r="J424" s="168"/>
      <c r="K424" s="168"/>
      <c r="L424" s="168"/>
      <c r="M424" s="172"/>
    </row>
    <row r="425" spans="1:13" ht="16.5" x14ac:dyDescent="0.25">
      <c r="A425" s="510" t="s">
        <v>300</v>
      </c>
      <c r="B425" s="511"/>
      <c r="C425" s="511"/>
      <c r="D425" s="511"/>
      <c r="E425" s="511"/>
      <c r="F425" s="511"/>
      <c r="G425" s="511"/>
      <c r="H425" s="511"/>
      <c r="I425" s="512"/>
      <c r="J425" s="167"/>
      <c r="K425" s="167"/>
      <c r="L425" s="167"/>
      <c r="M425" s="172"/>
    </row>
    <row r="426" spans="1:13" ht="16.5" x14ac:dyDescent="0.25">
      <c r="A426" s="452" t="s">
        <v>183</v>
      </c>
      <c r="B426" s="453"/>
      <c r="C426" s="453"/>
      <c r="D426" s="453"/>
      <c r="E426" s="453"/>
      <c r="F426" s="453"/>
      <c r="G426" s="453"/>
      <c r="H426" s="453"/>
      <c r="I426" s="454"/>
      <c r="J426" s="227">
        <f>J412+J416</f>
        <v>2000000</v>
      </c>
      <c r="K426" s="227">
        <f t="shared" ref="K426:L426" si="71">K412+K416</f>
        <v>2000000</v>
      </c>
      <c r="L426" s="227">
        <f t="shared" si="71"/>
        <v>2032000</v>
      </c>
      <c r="M426" s="175"/>
    </row>
    <row r="427" spans="1:13" ht="16.5" x14ac:dyDescent="0.25">
      <c r="A427" s="414" t="s">
        <v>398</v>
      </c>
      <c r="B427" s="415"/>
      <c r="C427" s="415"/>
      <c r="D427" s="415"/>
      <c r="E427" s="415"/>
      <c r="F427" s="415"/>
      <c r="G427" s="415"/>
      <c r="H427" s="415"/>
      <c r="I427" s="416"/>
      <c r="J427" s="167">
        <f>J426/H428</f>
        <v>50000</v>
      </c>
      <c r="K427" s="167">
        <f>K426/H428</f>
        <v>50000</v>
      </c>
      <c r="L427" s="167">
        <f>L426/H428</f>
        <v>50800</v>
      </c>
      <c r="M427" s="167"/>
    </row>
    <row r="428" spans="1:13" x14ac:dyDescent="0.25">
      <c r="H428">
        <v>40</v>
      </c>
    </row>
    <row r="430" spans="1:13" ht="16.5" x14ac:dyDescent="0.25">
      <c r="A430" s="169"/>
      <c r="B430" s="169"/>
      <c r="C430" s="169"/>
      <c r="D430" s="169"/>
      <c r="E430" s="169"/>
      <c r="F430" s="169"/>
      <c r="G430" s="169"/>
      <c r="H430" s="169"/>
      <c r="I430" s="169"/>
      <c r="J430" s="211"/>
      <c r="K430" s="169" t="s">
        <v>404</v>
      </c>
      <c r="L430" s="169"/>
      <c r="M430" s="169"/>
    </row>
    <row r="431" spans="1:13" ht="16.5" customHeight="1" x14ac:dyDescent="0.25">
      <c r="A431" s="531" t="s">
        <v>403</v>
      </c>
      <c r="B431" s="531"/>
      <c r="C431" s="531"/>
      <c r="D431" s="531"/>
      <c r="E431" s="531"/>
      <c r="F431" s="531"/>
      <c r="G431" s="531"/>
      <c r="H431" s="531"/>
      <c r="I431" s="531"/>
      <c r="J431" s="531"/>
      <c r="K431" s="531"/>
      <c r="L431" s="531"/>
      <c r="M431" s="531"/>
    </row>
    <row r="432" spans="1:13" ht="33" x14ac:dyDescent="0.25">
      <c r="A432" s="469" t="s">
        <v>390</v>
      </c>
      <c r="B432" s="470"/>
      <c r="C432" s="470"/>
      <c r="D432" s="470"/>
      <c r="E432" s="470"/>
      <c r="F432" s="470"/>
      <c r="G432" s="470"/>
      <c r="H432" s="470"/>
      <c r="I432" s="471"/>
      <c r="J432" s="164" t="s">
        <v>392</v>
      </c>
      <c r="K432" s="246">
        <v>2024</v>
      </c>
      <c r="L432" s="246">
        <v>2025</v>
      </c>
      <c r="M432" s="164"/>
    </row>
    <row r="433" spans="1:13" ht="16.5" x14ac:dyDescent="0.25">
      <c r="A433" s="455" t="s">
        <v>170</v>
      </c>
      <c r="B433" s="456"/>
      <c r="C433" s="456"/>
      <c r="D433" s="456"/>
      <c r="E433" s="456"/>
      <c r="F433" s="456"/>
      <c r="G433" s="456"/>
      <c r="H433" s="456"/>
      <c r="I433" s="457"/>
      <c r="J433" s="175">
        <f>SUM(J434:J436)</f>
        <v>0</v>
      </c>
      <c r="K433" s="175">
        <f t="shared" ref="K433" si="72">SUM(K434:K436)</f>
        <v>0</v>
      </c>
      <c r="L433" s="175">
        <f t="shared" ref="L433" si="73">SUM(L434:L436)</f>
        <v>0</v>
      </c>
      <c r="M433" s="204"/>
    </row>
    <row r="434" spans="1:13" ht="16.5" x14ac:dyDescent="0.25">
      <c r="A434" s="510" t="s">
        <v>178</v>
      </c>
      <c r="B434" s="511"/>
      <c r="C434" s="511"/>
      <c r="D434" s="511"/>
      <c r="E434" s="511"/>
      <c r="F434" s="511"/>
      <c r="G434" s="511"/>
      <c r="H434" s="511"/>
      <c r="I434" s="512"/>
      <c r="J434" s="168"/>
      <c r="K434" s="168"/>
      <c r="L434" s="168"/>
      <c r="M434" s="172"/>
    </row>
    <row r="435" spans="1:13" ht="16.5" x14ac:dyDescent="0.25">
      <c r="A435" s="510" t="s">
        <v>297</v>
      </c>
      <c r="B435" s="511"/>
      <c r="C435" s="511"/>
      <c r="D435" s="511"/>
      <c r="E435" s="511"/>
      <c r="F435" s="511"/>
      <c r="G435" s="511"/>
      <c r="H435" s="511"/>
      <c r="I435" s="512"/>
      <c r="J435" s="168"/>
      <c r="K435" s="168"/>
      <c r="L435" s="168"/>
      <c r="M435" s="172"/>
    </row>
    <row r="436" spans="1:13" ht="16.5" x14ac:dyDescent="0.25">
      <c r="A436" s="414" t="s">
        <v>175</v>
      </c>
      <c r="B436" s="415"/>
      <c r="C436" s="415"/>
      <c r="D436" s="415"/>
      <c r="E436" s="415"/>
      <c r="F436" s="415"/>
      <c r="G436" s="415"/>
      <c r="H436" s="415"/>
      <c r="I436" s="416"/>
      <c r="J436" s="169"/>
      <c r="K436" s="168"/>
      <c r="L436" s="168"/>
      <c r="M436" s="172"/>
    </row>
    <row r="437" spans="1:13" ht="16.5" x14ac:dyDescent="0.25">
      <c r="A437" s="519" t="s">
        <v>177</v>
      </c>
      <c r="B437" s="520"/>
      <c r="C437" s="520"/>
      <c r="D437" s="520"/>
      <c r="E437" s="520"/>
      <c r="F437" s="520"/>
      <c r="G437" s="520"/>
      <c r="H437" s="520"/>
      <c r="I437" s="521"/>
      <c r="J437" s="175">
        <v>103600</v>
      </c>
      <c r="K437" s="175">
        <v>106700</v>
      </c>
      <c r="L437" s="175">
        <v>108410</v>
      </c>
      <c r="M437" s="204"/>
    </row>
    <row r="438" spans="1:13" ht="16.5" x14ac:dyDescent="0.25">
      <c r="A438" s="510" t="s">
        <v>179</v>
      </c>
      <c r="B438" s="511"/>
      <c r="C438" s="511"/>
      <c r="D438" s="511"/>
      <c r="E438" s="511"/>
      <c r="F438" s="511"/>
      <c r="G438" s="511"/>
      <c r="H438" s="511"/>
      <c r="I438" s="512"/>
      <c r="J438" s="168"/>
      <c r="K438" s="168"/>
      <c r="L438" s="168"/>
      <c r="M438" s="172"/>
    </row>
    <row r="439" spans="1:13" ht="16.5" x14ac:dyDescent="0.25">
      <c r="A439" s="414" t="s">
        <v>171</v>
      </c>
      <c r="B439" s="415"/>
      <c r="C439" s="415"/>
      <c r="D439" s="415"/>
      <c r="E439" s="415"/>
      <c r="F439" s="415"/>
      <c r="G439" s="415"/>
      <c r="H439" s="415"/>
      <c r="I439" s="416"/>
      <c r="J439" s="168"/>
      <c r="K439" s="168"/>
      <c r="L439" s="168"/>
      <c r="M439" s="172"/>
    </row>
    <row r="440" spans="1:13" ht="16.5" x14ac:dyDescent="0.25">
      <c r="A440" s="414" t="s">
        <v>172</v>
      </c>
      <c r="B440" s="415"/>
      <c r="C440" s="415"/>
      <c r="D440" s="415"/>
      <c r="E440" s="415"/>
      <c r="F440" s="415"/>
      <c r="G440" s="415"/>
      <c r="H440" s="415"/>
      <c r="I440" s="416"/>
      <c r="J440" s="168"/>
      <c r="K440" s="168"/>
      <c r="L440" s="168"/>
      <c r="M440" s="172"/>
    </row>
    <row r="441" spans="1:13" ht="16.5" x14ac:dyDescent="0.25">
      <c r="A441" s="414" t="s">
        <v>173</v>
      </c>
      <c r="B441" s="415"/>
      <c r="C441" s="415"/>
      <c r="D441" s="415"/>
      <c r="E441" s="415"/>
      <c r="F441" s="415"/>
      <c r="G441" s="415"/>
      <c r="H441" s="415"/>
      <c r="I441" s="416"/>
      <c r="J441" s="168"/>
      <c r="K441" s="168"/>
      <c r="L441" s="168"/>
      <c r="M441" s="172"/>
    </row>
    <row r="442" spans="1:13" ht="16.5" x14ac:dyDescent="0.25">
      <c r="A442" s="414" t="s">
        <v>174</v>
      </c>
      <c r="B442" s="415"/>
      <c r="C442" s="415"/>
      <c r="D442" s="415"/>
      <c r="E442" s="415"/>
      <c r="F442" s="415"/>
      <c r="G442" s="415"/>
      <c r="H442" s="415"/>
      <c r="I442" s="416"/>
      <c r="J442" s="168"/>
      <c r="K442" s="168"/>
      <c r="L442" s="168"/>
      <c r="M442" s="172"/>
    </row>
    <row r="443" spans="1:13" ht="16.5" x14ac:dyDescent="0.25">
      <c r="A443" s="414" t="s">
        <v>180</v>
      </c>
      <c r="B443" s="415"/>
      <c r="C443" s="415"/>
      <c r="D443" s="415"/>
      <c r="E443" s="415"/>
      <c r="F443" s="415"/>
      <c r="G443" s="415"/>
      <c r="H443" s="415"/>
      <c r="I443" s="416"/>
      <c r="J443" s="168"/>
      <c r="K443" s="168"/>
      <c r="L443" s="168"/>
      <c r="M443" s="172"/>
    </row>
    <row r="444" spans="1:13" ht="16.5" x14ac:dyDescent="0.25">
      <c r="A444" s="414" t="s">
        <v>181</v>
      </c>
      <c r="B444" s="415"/>
      <c r="C444" s="415"/>
      <c r="D444" s="415"/>
      <c r="E444" s="415"/>
      <c r="F444" s="415"/>
      <c r="G444" s="415"/>
      <c r="H444" s="415"/>
      <c r="I444" s="416"/>
      <c r="J444" s="176"/>
      <c r="K444" s="168"/>
      <c r="L444" s="168"/>
      <c r="M444" s="172"/>
    </row>
    <row r="445" spans="1:13" ht="16.5" x14ac:dyDescent="0.25">
      <c r="A445" s="513" t="s">
        <v>295</v>
      </c>
      <c r="B445" s="514"/>
      <c r="C445" s="514"/>
      <c r="D445" s="514"/>
      <c r="E445" s="514"/>
      <c r="F445" s="514"/>
      <c r="G445" s="514"/>
      <c r="H445" s="514"/>
      <c r="I445" s="515"/>
      <c r="J445" s="168"/>
      <c r="K445" s="168"/>
      <c r="L445" s="168"/>
      <c r="M445" s="172"/>
    </row>
    <row r="446" spans="1:13" ht="16.5" x14ac:dyDescent="0.25">
      <c r="A446" s="510" t="s">
        <v>300</v>
      </c>
      <c r="B446" s="511"/>
      <c r="C446" s="511"/>
      <c r="D446" s="511"/>
      <c r="E446" s="511"/>
      <c r="F446" s="511"/>
      <c r="G446" s="511"/>
      <c r="H446" s="511"/>
      <c r="I446" s="512"/>
      <c r="J446" s="167"/>
      <c r="K446" s="167"/>
      <c r="L446" s="167"/>
      <c r="M446" s="172"/>
    </row>
    <row r="447" spans="1:13" ht="16.5" x14ac:dyDescent="0.25">
      <c r="A447" s="452" t="s">
        <v>183</v>
      </c>
      <c r="B447" s="453"/>
      <c r="C447" s="453"/>
      <c r="D447" s="453"/>
      <c r="E447" s="453"/>
      <c r="F447" s="453"/>
      <c r="G447" s="453"/>
      <c r="H447" s="453"/>
      <c r="I447" s="454"/>
      <c r="J447" s="227">
        <f>J433+J437</f>
        <v>103600</v>
      </c>
      <c r="K447" s="227">
        <f t="shared" ref="K447:L447" si="74">K433+K437</f>
        <v>106700</v>
      </c>
      <c r="L447" s="227">
        <f t="shared" si="74"/>
        <v>108410</v>
      </c>
      <c r="M447" s="227"/>
    </row>
    <row r="448" spans="1:13" ht="16.5" x14ac:dyDescent="0.25">
      <c r="A448" s="414" t="s">
        <v>398</v>
      </c>
      <c r="B448" s="415"/>
      <c r="C448" s="415"/>
      <c r="D448" s="415"/>
      <c r="E448" s="415"/>
      <c r="F448" s="415"/>
      <c r="G448" s="415"/>
      <c r="H448" s="415"/>
      <c r="I448" s="416"/>
      <c r="J448" s="167">
        <f>J447/H449</f>
        <v>25900</v>
      </c>
      <c r="K448" s="167">
        <f>K447/H449</f>
        <v>26675</v>
      </c>
      <c r="L448" s="167">
        <f>L447/H449</f>
        <v>27102.5</v>
      </c>
      <c r="M448" s="167"/>
    </row>
    <row r="449" spans="1:13" x14ac:dyDescent="0.25">
      <c r="H449">
        <v>4</v>
      </c>
    </row>
    <row r="450" spans="1:13" ht="16.5" x14ac:dyDescent="0.25">
      <c r="K450" s="169" t="s">
        <v>411</v>
      </c>
    </row>
    <row r="451" spans="1:13" ht="16.5" x14ac:dyDescent="0.25">
      <c r="A451" s="468" t="s">
        <v>407</v>
      </c>
      <c r="B451" s="468"/>
      <c r="C451" s="468"/>
      <c r="D451" s="468"/>
      <c r="E451" s="468"/>
      <c r="F451" s="468"/>
      <c r="G451" s="468"/>
      <c r="H451" s="468"/>
      <c r="I451" s="468"/>
      <c r="J451" s="468"/>
      <c r="K451" s="468"/>
      <c r="L451" s="468"/>
      <c r="M451" s="468"/>
    </row>
    <row r="452" spans="1:13" ht="33" x14ac:dyDescent="0.25">
      <c r="A452" s="469" t="s">
        <v>390</v>
      </c>
      <c r="B452" s="470"/>
      <c r="C452" s="470"/>
      <c r="D452" s="470"/>
      <c r="E452" s="470"/>
      <c r="F452" s="470"/>
      <c r="G452" s="470"/>
      <c r="H452" s="470"/>
      <c r="I452" s="471"/>
      <c r="J452" s="164" t="s">
        <v>392</v>
      </c>
      <c r="K452" s="246">
        <v>2024</v>
      </c>
      <c r="L452" s="246">
        <v>2025</v>
      </c>
      <c r="M452" s="164"/>
    </row>
    <row r="453" spans="1:13" ht="16.5" x14ac:dyDescent="0.25">
      <c r="A453" s="455" t="s">
        <v>170</v>
      </c>
      <c r="B453" s="456"/>
      <c r="C453" s="456"/>
      <c r="D453" s="456"/>
      <c r="E453" s="456"/>
      <c r="F453" s="456"/>
      <c r="G453" s="456"/>
      <c r="H453" s="456"/>
      <c r="I453" s="457"/>
      <c r="J453" s="205">
        <f>SUM(J454:J456)</f>
        <v>1060055.0634000001</v>
      </c>
      <c r="K453" s="205">
        <f t="shared" ref="K453:L453" si="75">SUM(K454:K456)</f>
        <v>1064582.0034</v>
      </c>
      <c r="L453" s="205">
        <f t="shared" si="75"/>
        <v>1060609.8534000001</v>
      </c>
      <c r="M453" s="204"/>
    </row>
    <row r="454" spans="1:13" ht="16.5" x14ac:dyDescent="0.25">
      <c r="A454" s="510" t="s">
        <v>178</v>
      </c>
      <c r="B454" s="511"/>
      <c r="C454" s="511"/>
      <c r="D454" s="511"/>
      <c r="E454" s="511"/>
      <c r="F454" s="511"/>
      <c r="G454" s="511"/>
      <c r="H454" s="511"/>
      <c r="I454" s="512"/>
      <c r="J454" s="173">
        <f>1393819.86*69%</f>
        <v>961735.7034</v>
      </c>
      <c r="K454" s="173">
        <f>1393819.86*69%</f>
        <v>961735.7034</v>
      </c>
      <c r="L454" s="173">
        <f>1393819.86*69%</f>
        <v>961735.7034</v>
      </c>
      <c r="M454" s="172"/>
    </row>
    <row r="455" spans="1:13" ht="16.5" x14ac:dyDescent="0.25">
      <c r="A455" s="510" t="s">
        <v>297</v>
      </c>
      <c r="B455" s="511"/>
      <c r="C455" s="511"/>
      <c r="D455" s="511"/>
      <c r="E455" s="511"/>
      <c r="F455" s="511"/>
      <c r="G455" s="511"/>
      <c r="H455" s="511"/>
      <c r="I455" s="512"/>
      <c r="J455" s="173">
        <f>23841.48+33927.15</f>
        <v>57768.630000000005</v>
      </c>
      <c r="K455" s="173">
        <f>26202.06+36093.51</f>
        <v>62295.570000000007</v>
      </c>
      <c r="L455" s="173">
        <f>26202.06+32121.36</f>
        <v>58323.42</v>
      </c>
      <c r="M455" s="172"/>
    </row>
    <row r="456" spans="1:13" ht="16.5" x14ac:dyDescent="0.25">
      <c r="A456" s="414" t="s">
        <v>175</v>
      </c>
      <c r="B456" s="415"/>
      <c r="C456" s="415"/>
      <c r="D456" s="415"/>
      <c r="E456" s="415"/>
      <c r="F456" s="415"/>
      <c r="G456" s="415"/>
      <c r="H456" s="415"/>
      <c r="I456" s="416"/>
      <c r="J456" s="173">
        <v>40550.730000000003</v>
      </c>
      <c r="K456" s="173">
        <v>40550.730000000003</v>
      </c>
      <c r="L456" s="173">
        <v>40550.730000000003</v>
      </c>
      <c r="M456" s="172"/>
    </row>
    <row r="457" spans="1:13" ht="16.5" x14ac:dyDescent="0.25">
      <c r="A457" s="519" t="s">
        <v>177</v>
      </c>
      <c r="B457" s="520"/>
      <c r="C457" s="520"/>
      <c r="D457" s="520"/>
      <c r="E457" s="520"/>
      <c r="F457" s="520"/>
      <c r="G457" s="520"/>
      <c r="H457" s="520"/>
      <c r="I457" s="521"/>
      <c r="J457" s="205">
        <f>J458+J459+J463+J465+J466</f>
        <v>794508.28660000011</v>
      </c>
      <c r="K457" s="205">
        <f t="shared" ref="K457:L457" si="76">K458+K459+K463+K465+K466</f>
        <v>794508.28660000011</v>
      </c>
      <c r="L457" s="205">
        <f t="shared" si="76"/>
        <v>794508.28659999999</v>
      </c>
      <c r="M457" s="204"/>
    </row>
    <row r="458" spans="1:13" ht="16.5" x14ac:dyDescent="0.25">
      <c r="A458" s="510" t="s">
        <v>179</v>
      </c>
      <c r="B458" s="511"/>
      <c r="C458" s="511"/>
      <c r="D458" s="511"/>
      <c r="E458" s="511"/>
      <c r="F458" s="511"/>
      <c r="G458" s="511"/>
      <c r="H458" s="511"/>
      <c r="I458" s="512"/>
      <c r="J458" s="173">
        <f>1393819.86-J454</f>
        <v>432084.1566000001</v>
      </c>
      <c r="K458" s="173">
        <f>1393819.86-K454</f>
        <v>432084.1566000001</v>
      </c>
      <c r="L458" s="173">
        <f>1393819.86-L454</f>
        <v>432084.1566000001</v>
      </c>
      <c r="M458" s="172"/>
    </row>
    <row r="459" spans="1:13" ht="16.5" x14ac:dyDescent="0.25">
      <c r="A459" s="414" t="s">
        <v>171</v>
      </c>
      <c r="B459" s="415"/>
      <c r="C459" s="415"/>
      <c r="D459" s="415"/>
      <c r="E459" s="415"/>
      <c r="F459" s="415"/>
      <c r="G459" s="415"/>
      <c r="H459" s="415"/>
      <c r="I459" s="416"/>
      <c r="J459" s="173">
        <f>SUM(J460:J462)</f>
        <v>89707.668338557996</v>
      </c>
      <c r="K459" s="173">
        <f t="shared" ref="K459:L459" si="77">SUM(K460:K462)</f>
        <v>93295.971473354235</v>
      </c>
      <c r="L459" s="173">
        <f t="shared" si="77"/>
        <v>97027.822884012538</v>
      </c>
      <c r="M459" s="172"/>
    </row>
    <row r="460" spans="1:13" ht="16.5" x14ac:dyDescent="0.25">
      <c r="A460" s="414" t="s">
        <v>172</v>
      </c>
      <c r="B460" s="415"/>
      <c r="C460" s="415"/>
      <c r="D460" s="415"/>
      <c r="E460" s="415"/>
      <c r="F460" s="415"/>
      <c r="G460" s="415"/>
      <c r="H460" s="415"/>
      <c r="I460" s="416"/>
      <c r="J460" s="173">
        <f>1063234/638*0.9*14</f>
        <v>20998.038244514108</v>
      </c>
      <c r="K460" s="173">
        <f>1105763/638*0.9*14</f>
        <v>21837.952664576802</v>
      </c>
      <c r="L460" s="173">
        <f>1149995/638*0.9*14</f>
        <v>22711.5</v>
      </c>
      <c r="M460" s="172"/>
    </row>
    <row r="461" spans="1:13" ht="16.5" x14ac:dyDescent="0.25">
      <c r="A461" s="414" t="s">
        <v>173</v>
      </c>
      <c r="B461" s="415"/>
      <c r="C461" s="415"/>
      <c r="D461" s="415"/>
      <c r="E461" s="415"/>
      <c r="F461" s="415"/>
      <c r="G461" s="415"/>
      <c r="H461" s="415"/>
      <c r="I461" s="416"/>
      <c r="J461" s="173">
        <f>3176838/638*0.5*14</f>
        <v>34855.589341692794</v>
      </c>
      <c r="K461" s="173">
        <f>3303912/638*0.5*14</f>
        <v>36249.818181818184</v>
      </c>
      <c r="L461" s="173">
        <f>3436068/638*0.5*14</f>
        <v>37699.805642633226</v>
      </c>
      <c r="M461" s="172"/>
    </row>
    <row r="462" spans="1:13" ht="16.5" x14ac:dyDescent="0.25">
      <c r="A462" s="414" t="s">
        <v>174</v>
      </c>
      <c r="B462" s="415"/>
      <c r="C462" s="415"/>
      <c r="D462" s="415"/>
      <c r="E462" s="415"/>
      <c r="F462" s="415"/>
      <c r="G462" s="415"/>
      <c r="H462" s="415"/>
      <c r="I462" s="416"/>
      <c r="J462" s="173">
        <f>1542777/638*14</f>
        <v>33854.040752351095</v>
      </c>
      <c r="K462" s="173">
        <f>1604488/638*14</f>
        <v>35208.200626959246</v>
      </c>
      <c r="L462" s="173">
        <f>1668667/638*14</f>
        <v>36616.517241379312</v>
      </c>
      <c r="M462" s="172"/>
    </row>
    <row r="463" spans="1:13" ht="16.5" x14ac:dyDescent="0.25">
      <c r="A463" s="414" t="s">
        <v>180</v>
      </c>
      <c r="B463" s="415"/>
      <c r="C463" s="415"/>
      <c r="D463" s="415"/>
      <c r="E463" s="415"/>
      <c r="F463" s="415"/>
      <c r="G463" s="415"/>
      <c r="H463" s="415"/>
      <c r="I463" s="416"/>
      <c r="J463" s="173">
        <v>7096.69</v>
      </c>
      <c r="K463" s="173">
        <v>7096.69</v>
      </c>
      <c r="L463" s="173">
        <v>7096.69</v>
      </c>
      <c r="M463" s="172"/>
    </row>
    <row r="464" spans="1:13" ht="16.5" x14ac:dyDescent="0.25">
      <c r="A464" s="414" t="s">
        <v>181</v>
      </c>
      <c r="B464" s="415"/>
      <c r="C464" s="415"/>
      <c r="D464" s="415"/>
      <c r="E464" s="415"/>
      <c r="F464" s="415"/>
      <c r="G464" s="415"/>
      <c r="H464" s="415"/>
      <c r="I464" s="416"/>
      <c r="J464" s="213"/>
      <c r="K464" s="173"/>
      <c r="L464" s="173"/>
      <c r="M464" s="172"/>
    </row>
    <row r="465" spans="1:13" ht="16.5" x14ac:dyDescent="0.25">
      <c r="A465" s="513" t="s">
        <v>295</v>
      </c>
      <c r="B465" s="514"/>
      <c r="C465" s="514"/>
      <c r="D465" s="514"/>
      <c r="E465" s="514"/>
      <c r="F465" s="514"/>
      <c r="G465" s="514"/>
      <c r="H465" s="514"/>
      <c r="I465" s="515"/>
      <c r="J465" s="173">
        <v>23734.38</v>
      </c>
      <c r="K465" s="173">
        <v>23734.38</v>
      </c>
      <c r="L465" s="173">
        <v>23734.38</v>
      </c>
      <c r="M465" s="172"/>
    </row>
    <row r="466" spans="1:13" ht="16.5" x14ac:dyDescent="0.25">
      <c r="A466" s="510" t="s">
        <v>300</v>
      </c>
      <c r="B466" s="511"/>
      <c r="C466" s="511"/>
      <c r="D466" s="511"/>
      <c r="E466" s="511"/>
      <c r="F466" s="511"/>
      <c r="G466" s="511"/>
      <c r="H466" s="511"/>
      <c r="I466" s="512"/>
      <c r="J466" s="200">
        <f>113562.33+180807.66+37223.07-J459</f>
        <v>241885.391661442</v>
      </c>
      <c r="K466" s="200">
        <f>113562.33+180807.66+37223.07-K459</f>
        <v>238297.08852664576</v>
      </c>
      <c r="L466" s="200">
        <f>113562.33+180807.66+37223.07-L459</f>
        <v>234565.23711598746</v>
      </c>
      <c r="M466" s="172"/>
    </row>
    <row r="467" spans="1:13" ht="16.5" x14ac:dyDescent="0.25">
      <c r="A467" s="452" t="s">
        <v>183</v>
      </c>
      <c r="B467" s="453"/>
      <c r="C467" s="453"/>
      <c r="D467" s="453"/>
      <c r="E467" s="453"/>
      <c r="F467" s="453"/>
      <c r="G467" s="453"/>
      <c r="H467" s="453"/>
      <c r="I467" s="454"/>
      <c r="J467" s="247">
        <f>J453+J457</f>
        <v>1854563.35</v>
      </c>
      <c r="K467" s="247">
        <f t="shared" ref="K467:L467" si="78">K453+K457</f>
        <v>1859090.29</v>
      </c>
      <c r="L467" s="247">
        <f t="shared" si="78"/>
        <v>1855118.1400000001</v>
      </c>
      <c r="M467" s="175"/>
    </row>
    <row r="468" spans="1:13" ht="16.5" x14ac:dyDescent="0.25">
      <c r="A468" s="414" t="s">
        <v>355</v>
      </c>
      <c r="B468" s="415"/>
      <c r="C468" s="415"/>
      <c r="D468" s="415"/>
      <c r="E468" s="415"/>
      <c r="F468" s="415"/>
      <c r="G468" s="415"/>
      <c r="H468" s="415"/>
      <c r="I468" s="416"/>
      <c r="J468" s="200">
        <f>J467/I469</f>
        <v>92728.16750000001</v>
      </c>
      <c r="K468" s="200">
        <f>K467/I469</f>
        <v>92954.514500000005</v>
      </c>
      <c r="L468" s="200">
        <f>L467/I469</f>
        <v>92755.907000000007</v>
      </c>
      <c r="M468" s="167"/>
    </row>
    <row r="469" spans="1:13" x14ac:dyDescent="0.25">
      <c r="I469">
        <v>20</v>
      </c>
    </row>
    <row r="470" spans="1:13" ht="16.5" x14ac:dyDescent="0.25">
      <c r="K470" s="169" t="s">
        <v>412</v>
      </c>
    </row>
    <row r="471" spans="1:13" ht="16.5" x14ac:dyDescent="0.25">
      <c r="A471" s="455" t="s">
        <v>408</v>
      </c>
      <c r="B471" s="456"/>
      <c r="C471" s="456"/>
      <c r="D471" s="456"/>
      <c r="E471" s="456"/>
      <c r="F471" s="456"/>
      <c r="G471" s="456"/>
      <c r="H471" s="456"/>
      <c r="I471" s="456"/>
      <c r="J471" s="456"/>
      <c r="K471" s="456"/>
      <c r="L471" s="456"/>
      <c r="M471" s="456"/>
    </row>
    <row r="472" spans="1:13" ht="33" x14ac:dyDescent="0.25">
      <c r="A472" s="469" t="s">
        <v>390</v>
      </c>
      <c r="B472" s="470"/>
      <c r="C472" s="470"/>
      <c r="D472" s="470"/>
      <c r="E472" s="470"/>
      <c r="F472" s="470"/>
      <c r="G472" s="470"/>
      <c r="H472" s="470"/>
      <c r="I472" s="471"/>
      <c r="J472" s="164" t="s">
        <v>391</v>
      </c>
      <c r="K472" s="246">
        <v>2024</v>
      </c>
      <c r="L472" s="246">
        <v>2025</v>
      </c>
      <c r="M472" s="164"/>
    </row>
    <row r="473" spans="1:13" ht="16.5" x14ac:dyDescent="0.25">
      <c r="A473" s="455" t="s">
        <v>170</v>
      </c>
      <c r="B473" s="456"/>
      <c r="C473" s="456"/>
      <c r="D473" s="456"/>
      <c r="E473" s="456"/>
      <c r="F473" s="456"/>
      <c r="G473" s="456"/>
      <c r="H473" s="456"/>
      <c r="I473" s="457"/>
      <c r="J473" s="205">
        <f>SUM(J474:J476)</f>
        <v>1290657.0626999999</v>
      </c>
      <c r="K473" s="205">
        <f t="shared" ref="K473:L473" si="79">SUM(K474:K476)</f>
        <v>1294731.3126999999</v>
      </c>
      <c r="L473" s="205">
        <f t="shared" si="79"/>
        <v>1291156.3726999999</v>
      </c>
      <c r="M473" s="204"/>
    </row>
    <row r="474" spans="1:13" ht="16.5" x14ac:dyDescent="0.25">
      <c r="A474" s="510" t="s">
        <v>178</v>
      </c>
      <c r="B474" s="511"/>
      <c r="C474" s="511"/>
      <c r="D474" s="511"/>
      <c r="E474" s="511"/>
      <c r="F474" s="511"/>
      <c r="G474" s="511"/>
      <c r="H474" s="511"/>
      <c r="I474" s="512"/>
      <c r="J474" s="173">
        <f>1742274.83*69%</f>
        <v>1202169.6327</v>
      </c>
      <c r="K474" s="173">
        <f>1742274.83*69%</f>
        <v>1202169.6327</v>
      </c>
      <c r="L474" s="173">
        <f>1742274.83*69%</f>
        <v>1202169.6327</v>
      </c>
      <c r="M474" s="172"/>
    </row>
    <row r="475" spans="1:13" ht="16.5" x14ac:dyDescent="0.25">
      <c r="A475" s="510" t="s">
        <v>297</v>
      </c>
      <c r="B475" s="511"/>
      <c r="C475" s="511"/>
      <c r="D475" s="511"/>
      <c r="E475" s="511"/>
      <c r="F475" s="511"/>
      <c r="G475" s="511"/>
      <c r="H475" s="511"/>
      <c r="I475" s="512"/>
      <c r="J475" s="173">
        <f>21457.33+30534.44</f>
        <v>51991.770000000004</v>
      </c>
      <c r="K475" s="173">
        <f>23581.86+32484.16</f>
        <v>56066.020000000004</v>
      </c>
      <c r="L475" s="173">
        <f>23581.86+28909.22</f>
        <v>52491.08</v>
      </c>
      <c r="M475" s="172"/>
    </row>
    <row r="476" spans="1:13" ht="16.5" x14ac:dyDescent="0.25">
      <c r="A476" s="414" t="s">
        <v>175</v>
      </c>
      <c r="B476" s="415"/>
      <c r="C476" s="415"/>
      <c r="D476" s="415"/>
      <c r="E476" s="415"/>
      <c r="F476" s="415"/>
      <c r="G476" s="415"/>
      <c r="H476" s="415"/>
      <c r="I476" s="416"/>
      <c r="J476" s="173">
        <f>36495.66</f>
        <v>36495.660000000003</v>
      </c>
      <c r="K476" s="173">
        <v>36495.660000000003</v>
      </c>
      <c r="L476" s="173">
        <v>36495.660000000003</v>
      </c>
      <c r="M476" s="172"/>
    </row>
    <row r="477" spans="1:13" ht="16.5" x14ac:dyDescent="0.25">
      <c r="A477" s="519" t="s">
        <v>177</v>
      </c>
      <c r="B477" s="520"/>
      <c r="C477" s="520"/>
      <c r="D477" s="520"/>
      <c r="E477" s="520"/>
      <c r="F477" s="520"/>
      <c r="G477" s="520"/>
      <c r="H477" s="520"/>
      <c r="I477" s="521"/>
      <c r="J477" s="205">
        <f>J478+J479+J483+J485+J486</f>
        <v>866286.91730000009</v>
      </c>
      <c r="K477" s="205">
        <f t="shared" ref="K477:L477" si="80">K478+K479+K483+K485+K486</f>
        <v>866286.91730000009</v>
      </c>
      <c r="L477" s="205">
        <f t="shared" si="80"/>
        <v>866286.90730000008</v>
      </c>
      <c r="M477" s="204"/>
    </row>
    <row r="478" spans="1:13" ht="16.5" x14ac:dyDescent="0.25">
      <c r="A478" s="510" t="s">
        <v>179</v>
      </c>
      <c r="B478" s="511"/>
      <c r="C478" s="511"/>
      <c r="D478" s="511"/>
      <c r="E478" s="511"/>
      <c r="F478" s="511"/>
      <c r="G478" s="511"/>
      <c r="H478" s="511"/>
      <c r="I478" s="512"/>
      <c r="J478" s="173">
        <f>1742274.83-J474</f>
        <v>540105.19730000012</v>
      </c>
      <c r="K478" s="173">
        <f>1742274.83-K474</f>
        <v>540105.19730000012</v>
      </c>
      <c r="L478" s="173">
        <f>1742274.83-L474</f>
        <v>540105.19730000012</v>
      </c>
      <c r="M478" s="172"/>
    </row>
    <row r="479" spans="1:13" ht="16.5" x14ac:dyDescent="0.25">
      <c r="A479" s="414" t="s">
        <v>171</v>
      </c>
      <c r="B479" s="415"/>
      <c r="C479" s="415"/>
      <c r="D479" s="415"/>
      <c r="E479" s="415"/>
      <c r="F479" s="415"/>
      <c r="G479" s="415"/>
      <c r="H479" s="415"/>
      <c r="I479" s="416"/>
      <c r="J479" s="173">
        <f>SUM(J480:J482)</f>
        <v>269123.00501567399</v>
      </c>
      <c r="K479" s="173">
        <f t="shared" ref="K479:L479" si="81">SUM(K480:K482)</f>
        <v>279885.93949843262</v>
      </c>
      <c r="L479" s="173">
        <f t="shared" si="81"/>
        <v>291083.40940438875</v>
      </c>
      <c r="M479" s="172"/>
    </row>
    <row r="480" spans="1:13" ht="16.5" x14ac:dyDescent="0.25">
      <c r="A480" s="414" t="s">
        <v>172</v>
      </c>
      <c r="B480" s="415"/>
      <c r="C480" s="415"/>
      <c r="D480" s="415"/>
      <c r="E480" s="415"/>
      <c r="F480" s="415"/>
      <c r="G480" s="415"/>
      <c r="H480" s="415"/>
      <c r="I480" s="416"/>
      <c r="J480" s="173">
        <f>1063234/638*0.9*42</f>
        <v>62994.114733542316</v>
      </c>
      <c r="K480" s="173">
        <f>1105763/638*0.9*42</f>
        <v>65513.857993730409</v>
      </c>
      <c r="L480" s="173">
        <f>1149994/638*0.9*42</f>
        <v>68134.440752351104</v>
      </c>
      <c r="M480" s="172"/>
    </row>
    <row r="481" spans="1:13" ht="16.5" x14ac:dyDescent="0.25">
      <c r="A481" s="414" t="s">
        <v>173</v>
      </c>
      <c r="B481" s="415"/>
      <c r="C481" s="415"/>
      <c r="D481" s="415"/>
      <c r="E481" s="415"/>
      <c r="F481" s="415"/>
      <c r="G481" s="415"/>
      <c r="H481" s="415"/>
      <c r="I481" s="416"/>
      <c r="J481" s="173">
        <f>3176838/638*0.5*42</f>
        <v>104566.76802507837</v>
      </c>
      <c r="K481" s="173">
        <f>3303912/638*0.5*42</f>
        <v>108749.45454545456</v>
      </c>
      <c r="L481" s="173">
        <f>3436068/638*0.5*42</f>
        <v>113099.41692789969</v>
      </c>
      <c r="M481" s="172"/>
    </row>
    <row r="482" spans="1:13" ht="16.5" x14ac:dyDescent="0.25">
      <c r="A482" s="414" t="s">
        <v>174</v>
      </c>
      <c r="B482" s="415"/>
      <c r="C482" s="415"/>
      <c r="D482" s="415"/>
      <c r="E482" s="415"/>
      <c r="F482" s="415"/>
      <c r="G482" s="415"/>
      <c r="H482" s="415"/>
      <c r="I482" s="416"/>
      <c r="J482" s="173">
        <f>1542777/638*42</f>
        <v>101562.12225705328</v>
      </c>
      <c r="K482" s="173">
        <f>1604458/638*42</f>
        <v>105622.62695924765</v>
      </c>
      <c r="L482" s="173">
        <f>1668667/638*42</f>
        <v>109849.55172413794</v>
      </c>
      <c r="M482" s="172"/>
    </row>
    <row r="483" spans="1:13" ht="16.5" x14ac:dyDescent="0.25">
      <c r="A483" s="414" t="s">
        <v>180</v>
      </c>
      <c r="B483" s="415"/>
      <c r="C483" s="415"/>
      <c r="D483" s="415"/>
      <c r="E483" s="415"/>
      <c r="F483" s="415"/>
      <c r="G483" s="415"/>
      <c r="H483" s="415"/>
      <c r="I483" s="416"/>
      <c r="J483" s="173">
        <v>6387.02</v>
      </c>
      <c r="K483" s="173">
        <v>6387.02</v>
      </c>
      <c r="L483" s="173">
        <v>6387.02</v>
      </c>
      <c r="M483" s="172"/>
    </row>
    <row r="484" spans="1:13" ht="16.5" x14ac:dyDescent="0.25">
      <c r="A484" s="414" t="s">
        <v>181</v>
      </c>
      <c r="B484" s="415"/>
      <c r="C484" s="415"/>
      <c r="D484" s="415"/>
      <c r="E484" s="415"/>
      <c r="F484" s="415"/>
      <c r="G484" s="415"/>
      <c r="H484" s="415"/>
      <c r="I484" s="416"/>
      <c r="J484" s="213"/>
      <c r="K484" s="173"/>
      <c r="L484" s="173"/>
      <c r="M484" s="172"/>
    </row>
    <row r="485" spans="1:13" ht="16.5" x14ac:dyDescent="0.25">
      <c r="A485" s="513" t="s">
        <v>295</v>
      </c>
      <c r="B485" s="514"/>
      <c r="C485" s="514"/>
      <c r="D485" s="514"/>
      <c r="E485" s="514"/>
      <c r="F485" s="514"/>
      <c r="G485" s="514"/>
      <c r="H485" s="514"/>
      <c r="I485" s="515"/>
      <c r="J485" s="173">
        <v>21360.94</v>
      </c>
      <c r="K485" s="173">
        <v>21360.94</v>
      </c>
      <c r="L485" s="173">
        <v>21360.94</v>
      </c>
      <c r="M485" s="172"/>
    </row>
    <row r="486" spans="1:13" ht="16.5" x14ac:dyDescent="0.25">
      <c r="A486" s="510" t="s">
        <v>300</v>
      </c>
      <c r="B486" s="511"/>
      <c r="C486" s="511"/>
      <c r="D486" s="511"/>
      <c r="E486" s="511"/>
      <c r="F486" s="511"/>
      <c r="G486" s="511"/>
      <c r="H486" s="511"/>
      <c r="I486" s="512"/>
      <c r="J486" s="200">
        <f>102206.1+162726.9+33500.76-J479</f>
        <v>29310.75498432602</v>
      </c>
      <c r="K486" s="200">
        <f>102206.1+162726.9+33500.76-K479</f>
        <v>18547.820501567388</v>
      </c>
      <c r="L486" s="200">
        <f>102206.1+162726.9+33500.75-L479</f>
        <v>7350.3405956112547</v>
      </c>
      <c r="M486" s="172"/>
    </row>
    <row r="487" spans="1:13" ht="16.5" x14ac:dyDescent="0.25">
      <c r="A487" s="452" t="s">
        <v>183</v>
      </c>
      <c r="B487" s="453"/>
      <c r="C487" s="453"/>
      <c r="D487" s="453"/>
      <c r="E487" s="453"/>
      <c r="F487" s="453"/>
      <c r="G487" s="453"/>
      <c r="H487" s="453"/>
      <c r="I487" s="454"/>
      <c r="J487" s="247">
        <f>J473+J477</f>
        <v>2156943.98</v>
      </c>
      <c r="K487" s="247">
        <f t="shared" ref="K487:L487" si="82">K473+K477</f>
        <v>2161018.23</v>
      </c>
      <c r="L487" s="247">
        <f t="shared" si="82"/>
        <v>2157443.2800000003</v>
      </c>
      <c r="M487" s="175"/>
    </row>
    <row r="488" spans="1:13" ht="16.5" x14ac:dyDescent="0.25">
      <c r="A488" s="414" t="s">
        <v>355</v>
      </c>
      <c r="B488" s="415"/>
      <c r="C488" s="415"/>
      <c r="D488" s="415"/>
      <c r="E488" s="415"/>
      <c r="F488" s="415"/>
      <c r="G488" s="415"/>
      <c r="H488" s="415"/>
      <c r="I488" s="416"/>
      <c r="J488" s="200">
        <f>J487/I489</f>
        <v>119830.22111111111</v>
      </c>
      <c r="K488" s="200">
        <f>K487/I489</f>
        <v>120056.56833333333</v>
      </c>
      <c r="L488" s="200">
        <f>L487/I489</f>
        <v>119857.96000000002</v>
      </c>
      <c r="M488" s="167"/>
    </row>
    <row r="489" spans="1:13" x14ac:dyDescent="0.25">
      <c r="I489">
        <v>18</v>
      </c>
    </row>
    <row r="491" spans="1:13" x14ac:dyDescent="0.25">
      <c r="J491" s="252">
        <f>J20+J42+J63+J84+J106+J127+J148+J170+J192+J213+J234+J255+J276+J297+J319+J340+J362+J384+J405+J426+J447+J467+J487</f>
        <v>76476299.999999985</v>
      </c>
      <c r="K491" s="252">
        <f>K20+K42+K63+K84+K106+K127+K148+K170+K192+K213+K234+K255+K276+K297+K319+K340+K362+K384+K405+K426+K447+K467+K487</f>
        <v>77045900.000000015</v>
      </c>
      <c r="L491" s="252">
        <f>L20+L42+L63+L84+L106+L127+L148+L170+L192+L213+L234+L255+L276+L297+L319+L340+L362+L384+L405+L426+L447+L467+L487</f>
        <v>77394500.00999999</v>
      </c>
    </row>
  </sheetData>
  <mergeCells count="414">
    <mergeCell ref="A440:I440"/>
    <mergeCell ref="A441:I441"/>
    <mergeCell ref="A442:I442"/>
    <mergeCell ref="A443:I443"/>
    <mergeCell ref="A444:I444"/>
    <mergeCell ref="A445:I445"/>
    <mergeCell ref="A446:I446"/>
    <mergeCell ref="A447:I447"/>
    <mergeCell ref="A448:I448"/>
    <mergeCell ref="A431:M431"/>
    <mergeCell ref="A432:I432"/>
    <mergeCell ref="A433:I433"/>
    <mergeCell ref="A434:I434"/>
    <mergeCell ref="A435:I435"/>
    <mergeCell ref="A436:I436"/>
    <mergeCell ref="A437:I437"/>
    <mergeCell ref="A438:I438"/>
    <mergeCell ref="A439:I439"/>
    <mergeCell ref="A419:I419"/>
    <mergeCell ref="A420:I420"/>
    <mergeCell ref="A421:I421"/>
    <mergeCell ref="A422:I422"/>
    <mergeCell ref="A423:I423"/>
    <mergeCell ref="A424:I424"/>
    <mergeCell ref="A425:I425"/>
    <mergeCell ref="A426:I426"/>
    <mergeCell ref="A427:I427"/>
    <mergeCell ref="A410:M410"/>
    <mergeCell ref="A411:I411"/>
    <mergeCell ref="A412:I412"/>
    <mergeCell ref="A413:I413"/>
    <mergeCell ref="A414:I414"/>
    <mergeCell ref="A415:I415"/>
    <mergeCell ref="A416:I416"/>
    <mergeCell ref="A417:I417"/>
    <mergeCell ref="A418:I418"/>
    <mergeCell ref="A398:I398"/>
    <mergeCell ref="A399:I399"/>
    <mergeCell ref="A400:I400"/>
    <mergeCell ref="A401:I401"/>
    <mergeCell ref="A402:I402"/>
    <mergeCell ref="A403:I403"/>
    <mergeCell ref="A404:I404"/>
    <mergeCell ref="A405:I405"/>
    <mergeCell ref="A406:I406"/>
    <mergeCell ref="A389:M389"/>
    <mergeCell ref="A390:I390"/>
    <mergeCell ref="A391:I391"/>
    <mergeCell ref="A392:I392"/>
    <mergeCell ref="A393:I393"/>
    <mergeCell ref="A394:I394"/>
    <mergeCell ref="A395:I395"/>
    <mergeCell ref="A396:I396"/>
    <mergeCell ref="A397:I397"/>
    <mergeCell ref="A377:I377"/>
    <mergeCell ref="A378:I378"/>
    <mergeCell ref="A379:I379"/>
    <mergeCell ref="A380:I380"/>
    <mergeCell ref="A381:I381"/>
    <mergeCell ref="A382:I382"/>
    <mergeCell ref="A383:I383"/>
    <mergeCell ref="A384:I384"/>
    <mergeCell ref="A385:I385"/>
    <mergeCell ref="A368:M368"/>
    <mergeCell ref="A369:I369"/>
    <mergeCell ref="A370:I370"/>
    <mergeCell ref="A371:I371"/>
    <mergeCell ref="A372:I372"/>
    <mergeCell ref="A373:I373"/>
    <mergeCell ref="A374:I374"/>
    <mergeCell ref="A375:I375"/>
    <mergeCell ref="A376:I376"/>
    <mergeCell ref="A355:I355"/>
    <mergeCell ref="A356:I356"/>
    <mergeCell ref="A357:I357"/>
    <mergeCell ref="A358:I358"/>
    <mergeCell ref="A359:I359"/>
    <mergeCell ref="A360:I360"/>
    <mergeCell ref="A361:I361"/>
    <mergeCell ref="A362:I362"/>
    <mergeCell ref="A363:I363"/>
    <mergeCell ref="A346:M346"/>
    <mergeCell ref="A347:I347"/>
    <mergeCell ref="A348:I348"/>
    <mergeCell ref="A349:I349"/>
    <mergeCell ref="A350:I350"/>
    <mergeCell ref="A351:I351"/>
    <mergeCell ref="A352:I352"/>
    <mergeCell ref="A353:I353"/>
    <mergeCell ref="A354:I354"/>
    <mergeCell ref="A333:I333"/>
    <mergeCell ref="A334:I334"/>
    <mergeCell ref="A335:I335"/>
    <mergeCell ref="A336:I336"/>
    <mergeCell ref="A337:I337"/>
    <mergeCell ref="A338:I338"/>
    <mergeCell ref="A339:I339"/>
    <mergeCell ref="A340:I340"/>
    <mergeCell ref="A341:I341"/>
    <mergeCell ref="A324:M324"/>
    <mergeCell ref="A325:I325"/>
    <mergeCell ref="A326:I326"/>
    <mergeCell ref="A327:I327"/>
    <mergeCell ref="A328:I328"/>
    <mergeCell ref="A329:I329"/>
    <mergeCell ref="A330:I330"/>
    <mergeCell ref="A331:I331"/>
    <mergeCell ref="A332:I332"/>
    <mergeCell ref="A312:I312"/>
    <mergeCell ref="A313:I313"/>
    <mergeCell ref="A314:I314"/>
    <mergeCell ref="A315:I315"/>
    <mergeCell ref="A316:I316"/>
    <mergeCell ref="A317:I317"/>
    <mergeCell ref="A318:I318"/>
    <mergeCell ref="A319:I319"/>
    <mergeCell ref="A320:I320"/>
    <mergeCell ref="A303:M303"/>
    <mergeCell ref="A304:I304"/>
    <mergeCell ref="A305:I305"/>
    <mergeCell ref="A306:I306"/>
    <mergeCell ref="A307:I307"/>
    <mergeCell ref="A308:I308"/>
    <mergeCell ref="A309:I309"/>
    <mergeCell ref="A310:I310"/>
    <mergeCell ref="A311:I311"/>
    <mergeCell ref="A290:I290"/>
    <mergeCell ref="A291:I291"/>
    <mergeCell ref="A292:I292"/>
    <mergeCell ref="A293:I293"/>
    <mergeCell ref="A294:I294"/>
    <mergeCell ref="A295:I295"/>
    <mergeCell ref="A296:I296"/>
    <mergeCell ref="A297:I297"/>
    <mergeCell ref="A298:I298"/>
    <mergeCell ref="A281:M281"/>
    <mergeCell ref="A282:I282"/>
    <mergeCell ref="A283:I283"/>
    <mergeCell ref="A284:I284"/>
    <mergeCell ref="A285:I285"/>
    <mergeCell ref="A286:I286"/>
    <mergeCell ref="A287:I287"/>
    <mergeCell ref="A288:I288"/>
    <mergeCell ref="A289:I289"/>
    <mergeCell ref="A269:I269"/>
    <mergeCell ref="A270:I270"/>
    <mergeCell ref="A271:I271"/>
    <mergeCell ref="A272:I272"/>
    <mergeCell ref="A273:I273"/>
    <mergeCell ref="A274:I274"/>
    <mergeCell ref="A275:I275"/>
    <mergeCell ref="A276:I276"/>
    <mergeCell ref="A277:I277"/>
    <mergeCell ref="A260:M260"/>
    <mergeCell ref="A261:I261"/>
    <mergeCell ref="A262:I262"/>
    <mergeCell ref="A263:I263"/>
    <mergeCell ref="A264:I264"/>
    <mergeCell ref="A265:I265"/>
    <mergeCell ref="A266:I266"/>
    <mergeCell ref="A267:I267"/>
    <mergeCell ref="A268:I268"/>
    <mergeCell ref="A248:I248"/>
    <mergeCell ref="A249:I249"/>
    <mergeCell ref="A250:I250"/>
    <mergeCell ref="A251:I251"/>
    <mergeCell ref="A252:I252"/>
    <mergeCell ref="A253:I253"/>
    <mergeCell ref="A254:I254"/>
    <mergeCell ref="A255:I255"/>
    <mergeCell ref="A256:I256"/>
    <mergeCell ref="A239:M239"/>
    <mergeCell ref="A240:I240"/>
    <mergeCell ref="A241:I241"/>
    <mergeCell ref="A242:I242"/>
    <mergeCell ref="A243:I243"/>
    <mergeCell ref="A244:I244"/>
    <mergeCell ref="A245:I245"/>
    <mergeCell ref="A246:I246"/>
    <mergeCell ref="A247:I247"/>
    <mergeCell ref="A227:I227"/>
    <mergeCell ref="A228:I228"/>
    <mergeCell ref="A229:I229"/>
    <mergeCell ref="A230:I230"/>
    <mergeCell ref="A231:I231"/>
    <mergeCell ref="A232:I232"/>
    <mergeCell ref="A233:I233"/>
    <mergeCell ref="A234:I234"/>
    <mergeCell ref="A235:I235"/>
    <mergeCell ref="A218:M218"/>
    <mergeCell ref="A219:I219"/>
    <mergeCell ref="A220:I220"/>
    <mergeCell ref="A221:I221"/>
    <mergeCell ref="A222:I222"/>
    <mergeCell ref="A223:I223"/>
    <mergeCell ref="A224:I224"/>
    <mergeCell ref="A225:I225"/>
    <mergeCell ref="A226:I226"/>
    <mergeCell ref="A206:I206"/>
    <mergeCell ref="A207:I207"/>
    <mergeCell ref="A208:I208"/>
    <mergeCell ref="A209:I209"/>
    <mergeCell ref="A210:I210"/>
    <mergeCell ref="A211:I211"/>
    <mergeCell ref="A212:I212"/>
    <mergeCell ref="A213:I213"/>
    <mergeCell ref="A214:I214"/>
    <mergeCell ref="A197:M197"/>
    <mergeCell ref="A198:I198"/>
    <mergeCell ref="A199:I199"/>
    <mergeCell ref="A200:I200"/>
    <mergeCell ref="A201:I201"/>
    <mergeCell ref="A202:I202"/>
    <mergeCell ref="A203:I203"/>
    <mergeCell ref="A204:I204"/>
    <mergeCell ref="A205:I205"/>
    <mergeCell ref="A185:I185"/>
    <mergeCell ref="A186:I186"/>
    <mergeCell ref="A187:I187"/>
    <mergeCell ref="A188:I188"/>
    <mergeCell ref="A189:I189"/>
    <mergeCell ref="A190:I190"/>
    <mergeCell ref="A191:I191"/>
    <mergeCell ref="A192:I192"/>
    <mergeCell ref="A193:I193"/>
    <mergeCell ref="A176:M176"/>
    <mergeCell ref="A177:I177"/>
    <mergeCell ref="A178:I178"/>
    <mergeCell ref="A179:I179"/>
    <mergeCell ref="A180:I180"/>
    <mergeCell ref="A181:I181"/>
    <mergeCell ref="A182:I182"/>
    <mergeCell ref="A183:I183"/>
    <mergeCell ref="A184:I184"/>
    <mergeCell ref="A163:I163"/>
    <mergeCell ref="A164:I164"/>
    <mergeCell ref="A165:I165"/>
    <mergeCell ref="A166:I166"/>
    <mergeCell ref="A167:I167"/>
    <mergeCell ref="A168:I168"/>
    <mergeCell ref="A169:I169"/>
    <mergeCell ref="A170:I170"/>
    <mergeCell ref="A171:I171"/>
    <mergeCell ref="A154:M154"/>
    <mergeCell ref="A155:I155"/>
    <mergeCell ref="A156:I156"/>
    <mergeCell ref="A157:I157"/>
    <mergeCell ref="A158:I158"/>
    <mergeCell ref="A159:I159"/>
    <mergeCell ref="A160:I160"/>
    <mergeCell ref="A161:I161"/>
    <mergeCell ref="A162:I162"/>
    <mergeCell ref="A141:I141"/>
    <mergeCell ref="A142:I142"/>
    <mergeCell ref="A143:I143"/>
    <mergeCell ref="A144:I144"/>
    <mergeCell ref="A145:I145"/>
    <mergeCell ref="A146:I146"/>
    <mergeCell ref="A147:I147"/>
    <mergeCell ref="A148:I148"/>
    <mergeCell ref="A149:I149"/>
    <mergeCell ref="A132:M132"/>
    <mergeCell ref="A133:I133"/>
    <mergeCell ref="A134:I134"/>
    <mergeCell ref="A135:I135"/>
    <mergeCell ref="A136:I136"/>
    <mergeCell ref="A137:I137"/>
    <mergeCell ref="A138:I138"/>
    <mergeCell ref="A139:I139"/>
    <mergeCell ref="A140:I140"/>
    <mergeCell ref="A3:M3"/>
    <mergeCell ref="A12:I12"/>
    <mergeCell ref="A13:I13"/>
    <mergeCell ref="A14:I14"/>
    <mergeCell ref="A15:I15"/>
    <mergeCell ref="A16:I16"/>
    <mergeCell ref="A17:I17"/>
    <mergeCell ref="A6:I6"/>
    <mergeCell ref="A7:I7"/>
    <mergeCell ref="A8:I8"/>
    <mergeCell ref="A9:I9"/>
    <mergeCell ref="A10:I10"/>
    <mergeCell ref="A11:I11"/>
    <mergeCell ref="A4:I5"/>
    <mergeCell ref="A28:I28"/>
    <mergeCell ref="A29:I29"/>
    <mergeCell ref="A30:I30"/>
    <mergeCell ref="A31:I31"/>
    <mergeCell ref="A32:I32"/>
    <mergeCell ref="A33:I33"/>
    <mergeCell ref="A18:I18"/>
    <mergeCell ref="A19:I19"/>
    <mergeCell ref="A20:I20"/>
    <mergeCell ref="A21:I21"/>
    <mergeCell ref="A26:M26"/>
    <mergeCell ref="A27:I27"/>
    <mergeCell ref="A40:I40"/>
    <mergeCell ref="A41:I41"/>
    <mergeCell ref="A42:I42"/>
    <mergeCell ref="A43:I43"/>
    <mergeCell ref="A50:I50"/>
    <mergeCell ref="A34:I34"/>
    <mergeCell ref="A35:I35"/>
    <mergeCell ref="A36:I36"/>
    <mergeCell ref="A37:I37"/>
    <mergeCell ref="A38:I38"/>
    <mergeCell ref="A39:I39"/>
    <mergeCell ref="A47:M47"/>
    <mergeCell ref="A48:I48"/>
    <mergeCell ref="A49:I49"/>
    <mergeCell ref="A57:I57"/>
    <mergeCell ref="A58:I58"/>
    <mergeCell ref="A59:I59"/>
    <mergeCell ref="A60:I60"/>
    <mergeCell ref="A61:I61"/>
    <mergeCell ref="A62:I62"/>
    <mergeCell ref="A51:I51"/>
    <mergeCell ref="A52:I52"/>
    <mergeCell ref="A53:I53"/>
    <mergeCell ref="A54:I54"/>
    <mergeCell ref="A55:I55"/>
    <mergeCell ref="A56:I56"/>
    <mergeCell ref="A72:I72"/>
    <mergeCell ref="A73:I73"/>
    <mergeCell ref="A74:I74"/>
    <mergeCell ref="A75:I75"/>
    <mergeCell ref="A76:I76"/>
    <mergeCell ref="A77:I77"/>
    <mergeCell ref="A63:I63"/>
    <mergeCell ref="A64:I64"/>
    <mergeCell ref="A71:I71"/>
    <mergeCell ref="A68:M68"/>
    <mergeCell ref="A69:I69"/>
    <mergeCell ref="A70:I70"/>
    <mergeCell ref="A84:I84"/>
    <mergeCell ref="A85:I85"/>
    <mergeCell ref="A92:I92"/>
    <mergeCell ref="A78:I78"/>
    <mergeCell ref="A79:I79"/>
    <mergeCell ref="A80:I80"/>
    <mergeCell ref="A81:I81"/>
    <mergeCell ref="A82:I82"/>
    <mergeCell ref="A83:I83"/>
    <mergeCell ref="A90:M90"/>
    <mergeCell ref="A91:I91"/>
    <mergeCell ref="A99:I99"/>
    <mergeCell ref="A100:I100"/>
    <mergeCell ref="A101:I101"/>
    <mergeCell ref="A102:I102"/>
    <mergeCell ref="A103:I103"/>
    <mergeCell ref="A104:I104"/>
    <mergeCell ref="A93:I93"/>
    <mergeCell ref="A94:I94"/>
    <mergeCell ref="A95:I95"/>
    <mergeCell ref="A96:I96"/>
    <mergeCell ref="A97:I97"/>
    <mergeCell ref="A98:I98"/>
    <mergeCell ref="A114:I114"/>
    <mergeCell ref="A115:I115"/>
    <mergeCell ref="A116:I116"/>
    <mergeCell ref="A117:I117"/>
    <mergeCell ref="A118:I118"/>
    <mergeCell ref="A119:I119"/>
    <mergeCell ref="A105:I105"/>
    <mergeCell ref="A106:I106"/>
    <mergeCell ref="A107:I107"/>
    <mergeCell ref="A113:I113"/>
    <mergeCell ref="A111:M111"/>
    <mergeCell ref="A112:I112"/>
    <mergeCell ref="A126:I126"/>
    <mergeCell ref="A127:I127"/>
    <mergeCell ref="A128:I128"/>
    <mergeCell ref="A120:I120"/>
    <mergeCell ref="A121:I121"/>
    <mergeCell ref="A122:I122"/>
    <mergeCell ref="A123:I123"/>
    <mergeCell ref="A124:I124"/>
    <mergeCell ref="A125:I125"/>
    <mergeCell ref="A451:M451"/>
    <mergeCell ref="A452:I452"/>
    <mergeCell ref="A453:I453"/>
    <mergeCell ref="A454:I454"/>
    <mergeCell ref="A455:I455"/>
    <mergeCell ref="A456:I456"/>
    <mergeCell ref="A457:I457"/>
    <mergeCell ref="A458:I458"/>
    <mergeCell ref="A459:I459"/>
    <mergeCell ref="A460:I460"/>
    <mergeCell ref="A461:I461"/>
    <mergeCell ref="A462:I462"/>
    <mergeCell ref="A463:I463"/>
    <mergeCell ref="A464:I464"/>
    <mergeCell ref="A465:I465"/>
    <mergeCell ref="A466:I466"/>
    <mergeCell ref="A467:I467"/>
    <mergeCell ref="A468:I468"/>
    <mergeCell ref="A471:M471"/>
    <mergeCell ref="A472:I472"/>
    <mergeCell ref="A473:I473"/>
    <mergeCell ref="A474:I474"/>
    <mergeCell ref="A475:I475"/>
    <mergeCell ref="A476:I476"/>
    <mergeCell ref="A477:I477"/>
    <mergeCell ref="A478:I478"/>
    <mergeCell ref="A479:I479"/>
    <mergeCell ref="A480:I480"/>
    <mergeCell ref="A481:I481"/>
    <mergeCell ref="A482:I482"/>
    <mergeCell ref="A483:I483"/>
    <mergeCell ref="A484:I484"/>
    <mergeCell ref="A485:I485"/>
    <mergeCell ref="A486:I486"/>
    <mergeCell ref="A487:I487"/>
    <mergeCell ref="A488:I488"/>
  </mergeCells>
  <pageMargins left="0" right="0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Z36"/>
  <sheetViews>
    <sheetView topLeftCell="A22" workbookViewId="0">
      <selection activeCell="W44" sqref="W44"/>
    </sheetView>
  </sheetViews>
  <sheetFormatPr defaultRowHeight="15" x14ac:dyDescent="0.25"/>
  <cols>
    <col min="1" max="1" width="5.5703125" customWidth="1"/>
    <col min="2" max="2" width="6.140625" customWidth="1"/>
    <col min="3" max="3" width="8.42578125" customWidth="1"/>
    <col min="4" max="4" width="6.140625" customWidth="1"/>
    <col min="5" max="5" width="8.5703125" customWidth="1"/>
    <col min="6" max="6" width="7.5703125" customWidth="1"/>
    <col min="7" max="7" width="8.28515625" customWidth="1"/>
    <col min="8" max="8" width="4.7109375" customWidth="1"/>
    <col min="9" max="9" width="7.7109375" customWidth="1"/>
    <col min="10" max="10" width="6.85546875" customWidth="1"/>
    <col min="11" max="11" width="8.28515625" customWidth="1"/>
    <col min="12" max="12" width="6" customWidth="1"/>
    <col min="13" max="13" width="9.42578125" customWidth="1"/>
    <col min="14" max="15" width="7.28515625" customWidth="1"/>
    <col min="16" max="16" width="8.42578125" customWidth="1"/>
    <col min="17" max="17" width="7.42578125" customWidth="1"/>
    <col min="18" max="18" width="9.5703125" bestFit="1" customWidth="1"/>
    <col min="19" max="19" width="7.5703125" customWidth="1"/>
    <col min="20" max="20" width="8.140625" customWidth="1"/>
    <col min="22" max="22" width="7.85546875" customWidth="1"/>
  </cols>
  <sheetData>
    <row r="2" spans="1:26" x14ac:dyDescent="0.25">
      <c r="A2" s="9"/>
      <c r="B2" s="9"/>
      <c r="C2" s="9"/>
      <c r="D2" s="9"/>
      <c r="E2" s="21" t="s">
        <v>44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9"/>
      <c r="R2" s="9"/>
      <c r="S2" s="9"/>
      <c r="T2" s="21"/>
      <c r="U2" s="9"/>
      <c r="V2" s="9"/>
      <c r="W2" s="21"/>
      <c r="X2" s="9"/>
      <c r="Y2" s="9"/>
      <c r="Z2" s="9"/>
    </row>
    <row r="3" spans="1:26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21" t="s">
        <v>26</v>
      </c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 t="s">
        <v>166</v>
      </c>
      <c r="V4" s="9"/>
      <c r="W4" s="9"/>
      <c r="X4" s="9"/>
      <c r="Y4" s="9"/>
      <c r="Z4" s="9"/>
    </row>
    <row r="5" spans="1:26" ht="37.5" customHeight="1" x14ac:dyDescent="0.25">
      <c r="A5" s="263" t="s">
        <v>4</v>
      </c>
      <c r="B5" s="262" t="s">
        <v>1</v>
      </c>
      <c r="C5" s="262"/>
      <c r="D5" s="264" t="s">
        <v>2</v>
      </c>
      <c r="E5" s="266" t="s">
        <v>41</v>
      </c>
      <c r="F5" s="262" t="s">
        <v>38</v>
      </c>
      <c r="G5" s="262"/>
      <c r="H5" s="262"/>
      <c r="I5" s="262"/>
      <c r="J5" s="262" t="s">
        <v>39</v>
      </c>
      <c r="K5" s="262"/>
      <c r="L5" s="262"/>
      <c r="M5" s="262"/>
      <c r="N5" s="260" t="s">
        <v>40</v>
      </c>
      <c r="O5" s="261"/>
      <c r="P5" s="261"/>
      <c r="Q5" s="261"/>
      <c r="R5" s="273"/>
      <c r="S5" s="262" t="s">
        <v>45</v>
      </c>
      <c r="T5" s="262"/>
      <c r="U5" s="262"/>
      <c r="V5" s="262"/>
      <c r="W5" s="262"/>
      <c r="X5" s="13"/>
      <c r="Y5" s="13"/>
      <c r="Z5" s="13"/>
    </row>
    <row r="6" spans="1:26" ht="45" x14ac:dyDescent="0.25">
      <c r="A6" s="263"/>
      <c r="B6" s="262"/>
      <c r="C6" s="262"/>
      <c r="D6" s="265"/>
      <c r="E6" s="267"/>
      <c r="F6" s="4" t="s">
        <v>42</v>
      </c>
      <c r="G6" s="4" t="s">
        <v>13</v>
      </c>
      <c r="H6" s="4" t="s">
        <v>14</v>
      </c>
      <c r="I6" s="4" t="s">
        <v>25</v>
      </c>
      <c r="J6" s="4" t="s">
        <v>42</v>
      </c>
      <c r="K6" s="4" t="s">
        <v>13</v>
      </c>
      <c r="L6" s="4" t="s">
        <v>14</v>
      </c>
      <c r="M6" s="4" t="s">
        <v>25</v>
      </c>
      <c r="N6" s="4" t="s">
        <v>43</v>
      </c>
      <c r="O6" s="4" t="s">
        <v>42</v>
      </c>
      <c r="P6" s="4" t="s">
        <v>13</v>
      </c>
      <c r="Q6" s="4" t="s">
        <v>3</v>
      </c>
      <c r="R6" s="4" t="s">
        <v>25</v>
      </c>
      <c r="S6" s="4" t="s">
        <v>43</v>
      </c>
      <c r="T6" s="4" t="s">
        <v>42</v>
      </c>
      <c r="U6" s="4" t="s">
        <v>13</v>
      </c>
      <c r="V6" s="5" t="s">
        <v>3</v>
      </c>
      <c r="W6" s="4" t="s">
        <v>25</v>
      </c>
      <c r="X6" s="13"/>
      <c r="Y6" s="14"/>
      <c r="Z6" s="13"/>
    </row>
    <row r="7" spans="1:26" x14ac:dyDescent="0.25">
      <c r="A7" s="6" t="s">
        <v>8</v>
      </c>
      <c r="B7" s="259" t="s">
        <v>10</v>
      </c>
      <c r="C7" s="259"/>
      <c r="D7" s="5" t="s">
        <v>9</v>
      </c>
      <c r="E7" s="7">
        <v>2.3E-2</v>
      </c>
      <c r="F7" s="7">
        <v>591.6</v>
      </c>
      <c r="G7" s="22">
        <f>E7*F7*9</f>
        <v>122.46119999999999</v>
      </c>
      <c r="H7" s="7">
        <v>-5</v>
      </c>
      <c r="I7" s="22">
        <v>117.4</v>
      </c>
      <c r="J7" s="7">
        <v>363.78</v>
      </c>
      <c r="K7" s="22">
        <f>E7*J7*9</f>
        <v>75.302459999999996</v>
      </c>
      <c r="L7" s="7">
        <v>15</v>
      </c>
      <c r="M7" s="22">
        <v>81.98</v>
      </c>
      <c r="N7" s="23">
        <v>2.8000000000000001E-2</v>
      </c>
      <c r="O7" s="7">
        <v>806.35</v>
      </c>
      <c r="P7" s="22">
        <f>N7*O7*9</f>
        <v>203.2002</v>
      </c>
      <c r="Q7" s="9"/>
      <c r="R7" s="22">
        <f>P7</f>
        <v>203.2002</v>
      </c>
      <c r="S7" s="23">
        <v>2.8000000000000001E-2</v>
      </c>
      <c r="T7" s="7">
        <v>739.1</v>
      </c>
      <c r="U7" s="22">
        <f>S7*T7*12</f>
        <v>248.33760000000001</v>
      </c>
      <c r="V7" s="7">
        <v>110</v>
      </c>
      <c r="W7" s="22">
        <f>U7+273.17-8.31</f>
        <v>513.19760000000008</v>
      </c>
      <c r="X7" s="9"/>
      <c r="Y7" s="9"/>
      <c r="Z7" s="9"/>
    </row>
    <row r="8" spans="1:26" x14ac:dyDescent="0.25">
      <c r="A8" s="6" t="s">
        <v>17</v>
      </c>
      <c r="B8" s="259" t="s">
        <v>18</v>
      </c>
      <c r="C8" s="259"/>
      <c r="D8" s="8" t="s">
        <v>19</v>
      </c>
      <c r="E8" s="7">
        <v>18</v>
      </c>
      <c r="F8" s="7"/>
      <c r="G8" s="27">
        <f>E8*F7*222*8/1000</f>
        <v>18912.268800000002</v>
      </c>
      <c r="H8" s="7"/>
      <c r="I8" s="7">
        <v>4043</v>
      </c>
      <c r="J8" s="7"/>
      <c r="K8" s="22">
        <f>J7*E8*185*10/1000</f>
        <v>12113.874</v>
      </c>
      <c r="L8" s="7">
        <v>10</v>
      </c>
      <c r="M8" s="22">
        <v>13208</v>
      </c>
      <c r="N8" s="7"/>
      <c r="O8" s="7"/>
      <c r="P8" s="22">
        <f>(18*541.9*360*8)/1000+(18*216.45*360*24)/1000</f>
        <v>61754.399999999994</v>
      </c>
      <c r="Q8" s="7">
        <v>80</v>
      </c>
      <c r="R8" s="22">
        <v>111408.17</v>
      </c>
      <c r="S8" s="7"/>
      <c r="T8" s="7"/>
      <c r="U8" s="22">
        <f>(18*739.1*348*16/1000)+(18*739.1*12*8/1000)</f>
        <v>75352.723200000008</v>
      </c>
      <c r="V8" s="7">
        <v>15</v>
      </c>
      <c r="W8" s="22">
        <f>U8+11302.91</f>
        <v>86655.633200000011</v>
      </c>
      <c r="X8" s="9"/>
      <c r="Y8" s="9"/>
      <c r="Z8" s="9"/>
    </row>
    <row r="9" spans="1:26" x14ac:dyDescent="0.25">
      <c r="A9" s="6"/>
      <c r="B9" s="19"/>
      <c r="C9" s="20"/>
      <c r="D9" s="8"/>
      <c r="E9" s="7"/>
      <c r="F9" s="7"/>
      <c r="G9" s="22"/>
      <c r="H9" s="7"/>
      <c r="I9" s="7"/>
      <c r="J9" s="7"/>
      <c r="K9" s="22"/>
      <c r="L9" s="7"/>
      <c r="M9" s="22"/>
      <c r="N9" s="7"/>
      <c r="O9" s="7"/>
      <c r="P9" s="22"/>
      <c r="Q9" s="7"/>
      <c r="R9" s="22"/>
      <c r="S9" s="7"/>
      <c r="T9" s="7"/>
      <c r="U9" s="22"/>
      <c r="V9" s="7"/>
      <c r="W9" s="22"/>
      <c r="X9" s="9"/>
      <c r="Y9" s="9"/>
      <c r="Z9" s="9"/>
    </row>
    <row r="10" spans="1:26" x14ac:dyDescent="0.25">
      <c r="A10" s="6"/>
      <c r="B10" s="19"/>
      <c r="C10" s="20"/>
      <c r="D10" s="8"/>
      <c r="E10" s="7"/>
      <c r="F10" s="7"/>
      <c r="G10" s="22"/>
      <c r="H10" s="7"/>
      <c r="I10" s="7"/>
      <c r="J10" s="7"/>
      <c r="K10" s="22"/>
      <c r="L10" s="7"/>
      <c r="M10" s="22"/>
      <c r="N10" s="7"/>
      <c r="O10" s="7"/>
      <c r="P10" s="22"/>
      <c r="Q10" s="7"/>
      <c r="R10" s="22"/>
      <c r="S10" s="7"/>
      <c r="T10" s="7"/>
      <c r="U10" s="22"/>
      <c r="V10" s="7"/>
      <c r="W10" s="22"/>
      <c r="X10" s="9"/>
      <c r="Y10" s="9"/>
      <c r="Z10" s="9"/>
    </row>
    <row r="11" spans="1:26" x14ac:dyDescent="0.25">
      <c r="A11" s="6"/>
      <c r="B11" s="19"/>
      <c r="C11" s="20"/>
      <c r="D11" s="8"/>
      <c r="E11" s="270" t="s">
        <v>38</v>
      </c>
      <c r="F11" s="271"/>
      <c r="G11" s="271"/>
      <c r="H11" s="271"/>
      <c r="I11" s="272"/>
      <c r="J11" s="270" t="s">
        <v>39</v>
      </c>
      <c r="K11" s="271"/>
      <c r="L11" s="271"/>
      <c r="M11" s="271"/>
      <c r="N11" s="272"/>
      <c r="O11" s="260" t="s">
        <v>40</v>
      </c>
      <c r="P11" s="261"/>
      <c r="Q11" s="261"/>
      <c r="R11" s="261"/>
      <c r="S11" s="273"/>
      <c r="T11" s="262" t="s">
        <v>45</v>
      </c>
      <c r="U11" s="262"/>
      <c r="V11" s="262"/>
      <c r="W11" s="262"/>
      <c r="X11" s="262"/>
      <c r="Y11" s="9"/>
      <c r="Z11" s="9"/>
    </row>
    <row r="12" spans="1:26" ht="56.25" customHeight="1" x14ac:dyDescent="0.25">
      <c r="A12" s="6"/>
      <c r="B12" s="270"/>
      <c r="C12" s="271"/>
      <c r="D12" s="8"/>
      <c r="E12" s="24" t="s">
        <v>46</v>
      </c>
      <c r="F12" s="4" t="s">
        <v>48</v>
      </c>
      <c r="G12" s="4" t="s">
        <v>13</v>
      </c>
      <c r="H12" s="4" t="s">
        <v>14</v>
      </c>
      <c r="I12" s="4" t="s">
        <v>25</v>
      </c>
      <c r="J12" s="24" t="s">
        <v>46</v>
      </c>
      <c r="K12" s="4" t="s">
        <v>48</v>
      </c>
      <c r="L12" s="4" t="s">
        <v>13</v>
      </c>
      <c r="M12" s="4" t="s">
        <v>14</v>
      </c>
      <c r="N12" s="4" t="s">
        <v>25</v>
      </c>
      <c r="O12" s="24" t="s">
        <v>46</v>
      </c>
      <c r="P12" s="4" t="s">
        <v>48</v>
      </c>
      <c r="Q12" s="4" t="s">
        <v>13</v>
      </c>
      <c r="R12" s="4" t="s">
        <v>14</v>
      </c>
      <c r="S12" s="4" t="s">
        <v>25</v>
      </c>
      <c r="T12" s="24" t="s">
        <v>46</v>
      </c>
      <c r="U12" s="4" t="s">
        <v>48</v>
      </c>
      <c r="V12" s="4" t="s">
        <v>13</v>
      </c>
      <c r="W12" s="4" t="s">
        <v>14</v>
      </c>
      <c r="X12" s="4" t="s">
        <v>25</v>
      </c>
      <c r="Y12" s="9"/>
      <c r="Z12" s="9"/>
    </row>
    <row r="13" spans="1:26" x14ac:dyDescent="0.25">
      <c r="A13" s="6" t="s">
        <v>20</v>
      </c>
      <c r="B13" s="259" t="s">
        <v>21</v>
      </c>
      <c r="C13" s="259"/>
      <c r="D13" s="8" t="s">
        <v>22</v>
      </c>
      <c r="E13" s="25" t="s">
        <v>47</v>
      </c>
      <c r="F13" s="6" t="s">
        <v>49</v>
      </c>
      <c r="G13" s="26">
        <f>(23*12*234)/1000+((65*10*234)/1000+(115*10*210)/1000)/8*3+(12*32*247/1000)</f>
        <v>307.03200000000004</v>
      </c>
      <c r="H13" s="7">
        <v>-40</v>
      </c>
      <c r="I13" s="22">
        <v>180</v>
      </c>
      <c r="J13" s="6" t="s">
        <v>50</v>
      </c>
      <c r="K13" s="6" t="s">
        <v>51</v>
      </c>
      <c r="L13" s="22">
        <f>((12*23*234/1000)+(10*364*70/1000))-((12*23*234/1000)+(10*364*70/1000))*70%</f>
        <v>95.815200000000004</v>
      </c>
      <c r="M13" s="7">
        <v>-7</v>
      </c>
      <c r="N13" s="22">
        <v>87</v>
      </c>
      <c r="O13" s="25" t="s">
        <v>47</v>
      </c>
      <c r="P13" s="6" t="s">
        <v>52</v>
      </c>
      <c r="Q13" s="7">
        <f>(12*32*320/1000)+(10*109*52*5*6/8/1000)</f>
        <v>335.43</v>
      </c>
      <c r="R13" s="7">
        <v>10</v>
      </c>
      <c r="S13" s="7">
        <f>Q13+33.54</f>
        <v>368.97</v>
      </c>
      <c r="T13" s="7"/>
      <c r="U13" s="22"/>
      <c r="V13" s="7">
        <f>(10*20*40*320)/1000+450+(4.5*320)</f>
        <v>4450</v>
      </c>
      <c r="W13" s="7">
        <v>-20</v>
      </c>
      <c r="X13" s="7">
        <f>V13-890-116.8</f>
        <v>3443.2</v>
      </c>
      <c r="Y13" s="9"/>
      <c r="Z13" s="9"/>
    </row>
    <row r="14" spans="1:26" x14ac:dyDescent="0.25">
      <c r="A14" s="6" t="s">
        <v>27</v>
      </c>
      <c r="B14" s="259" t="s">
        <v>24</v>
      </c>
      <c r="C14" s="259"/>
      <c r="D14" s="8" t="s">
        <v>22</v>
      </c>
      <c r="E14" s="25" t="s">
        <v>47</v>
      </c>
      <c r="F14" s="6" t="s">
        <v>49</v>
      </c>
      <c r="G14" s="26">
        <v>307.02999999999997</v>
      </c>
      <c r="H14" s="7">
        <v>-40</v>
      </c>
      <c r="I14" s="22">
        <v>180</v>
      </c>
      <c r="J14" s="6" t="s">
        <v>50</v>
      </c>
      <c r="K14" s="6" t="s">
        <v>51</v>
      </c>
      <c r="L14" s="22">
        <f>((12*23*234/1000)+(10*364*70/1000))-((12*23*234/1000)+(10*364*70/1000))*70%</f>
        <v>95.815200000000004</v>
      </c>
      <c r="M14" s="7">
        <v>-7</v>
      </c>
      <c r="N14" s="22">
        <v>87</v>
      </c>
      <c r="O14" s="25" t="s">
        <v>47</v>
      </c>
      <c r="P14" s="6" t="s">
        <v>52</v>
      </c>
      <c r="Q14" s="7">
        <f>(12*32*320/1000)+(10*109*52*5*6/8/1000)</f>
        <v>335.43</v>
      </c>
      <c r="R14" s="7">
        <v>35</v>
      </c>
      <c r="S14" s="7">
        <f>Q14+117.4</f>
        <v>452.83000000000004</v>
      </c>
      <c r="T14" s="7"/>
      <c r="U14" s="22"/>
      <c r="V14" s="7">
        <f>(10*20*40*320)/1000+450+(4.5*320)</f>
        <v>4450</v>
      </c>
      <c r="W14" s="7">
        <v>-20</v>
      </c>
      <c r="X14" s="7">
        <f>V14-890-132.2</f>
        <v>3427.8</v>
      </c>
      <c r="Y14" s="9"/>
      <c r="Z14" s="9"/>
    </row>
    <row r="15" spans="1:26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43.5" customHeight="1" x14ac:dyDescent="0.25">
      <c r="A16" s="268" t="s">
        <v>53</v>
      </c>
      <c r="B16" s="268"/>
      <c r="C16" s="268"/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8"/>
      <c r="Q16" s="268"/>
      <c r="R16" s="268"/>
      <c r="S16" s="268"/>
      <c r="T16" s="268"/>
      <c r="U16" s="268"/>
      <c r="V16" s="268"/>
      <c r="W16" s="268"/>
      <c r="X16" s="268"/>
      <c r="Y16" s="268"/>
      <c r="Z16" s="268"/>
    </row>
    <row r="17" spans="1:26" ht="53.25" customHeight="1" x14ac:dyDescent="0.25">
      <c r="A17" s="269" t="s">
        <v>169</v>
      </c>
      <c r="B17" s="269"/>
      <c r="C17" s="269"/>
      <c r="D17" s="269"/>
      <c r="E17" s="269"/>
      <c r="F17" s="269"/>
      <c r="G17" s="269"/>
      <c r="H17" s="269"/>
      <c r="I17" s="269"/>
      <c r="J17" s="269"/>
      <c r="K17" s="269"/>
      <c r="L17" s="269"/>
      <c r="M17" s="269"/>
      <c r="N17" s="269"/>
      <c r="O17" s="269"/>
      <c r="P17" s="269"/>
      <c r="Q17" s="269"/>
      <c r="R17" s="269"/>
      <c r="S17" s="269"/>
      <c r="T17" s="269"/>
      <c r="U17" s="269"/>
      <c r="V17" s="269"/>
      <c r="W17" s="269"/>
      <c r="X17" s="269"/>
      <c r="Y17" s="269"/>
      <c r="Z17" s="269"/>
    </row>
    <row r="18" spans="1:26" ht="42.75" customHeight="1" x14ac:dyDescent="0.25">
      <c r="A18" s="269" t="s">
        <v>54</v>
      </c>
      <c r="B18" s="269"/>
      <c r="C18" s="269"/>
      <c r="D18" s="269"/>
      <c r="E18" s="269"/>
      <c r="F18" s="269"/>
      <c r="G18" s="269"/>
      <c r="H18" s="269"/>
      <c r="I18" s="269"/>
      <c r="J18" s="269"/>
      <c r="K18" s="269"/>
      <c r="L18" s="269"/>
      <c r="M18" s="269"/>
      <c r="N18" s="269"/>
      <c r="O18" s="269"/>
      <c r="P18" s="269"/>
      <c r="Q18" s="269"/>
      <c r="R18" s="269"/>
      <c r="S18" s="269"/>
      <c r="T18" s="269"/>
      <c r="U18" s="269"/>
      <c r="V18" s="269"/>
      <c r="W18" s="269"/>
      <c r="X18" s="269"/>
      <c r="Y18" s="269"/>
      <c r="Z18" s="269"/>
    </row>
    <row r="19" spans="1:26" x14ac:dyDescent="0.25">
      <c r="A19" s="28" t="s">
        <v>65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4" spans="1:26" x14ac:dyDescent="0.25">
      <c r="A24" s="9"/>
      <c r="B24" s="9"/>
      <c r="C24" s="9"/>
      <c r="D24" s="9"/>
      <c r="E24" s="21" t="s">
        <v>44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9"/>
      <c r="R24" s="9"/>
      <c r="S24" s="9"/>
      <c r="T24" s="21"/>
      <c r="U24" s="9"/>
      <c r="V24" s="9"/>
      <c r="W24" s="21"/>
      <c r="X24" s="9"/>
      <c r="Y24" s="9"/>
    </row>
    <row r="25" spans="1:26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21" t="s">
        <v>26</v>
      </c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6" x14ac:dyDescent="0.25">
      <c r="A26" s="9" t="s">
        <v>219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 t="s">
        <v>217</v>
      </c>
      <c r="M26" s="9"/>
      <c r="N26" s="9"/>
      <c r="O26" s="9"/>
      <c r="P26" s="9"/>
      <c r="Q26" s="9"/>
      <c r="R26" s="9"/>
      <c r="S26" s="9"/>
      <c r="T26" s="9"/>
      <c r="U26" s="9" t="s">
        <v>166</v>
      </c>
      <c r="V26" s="9"/>
      <c r="W26" s="9"/>
      <c r="X26" s="9"/>
      <c r="Y26" s="9"/>
    </row>
    <row r="27" spans="1:26" ht="38.25" customHeight="1" x14ac:dyDescent="0.25">
      <c r="A27" s="263" t="s">
        <v>4</v>
      </c>
      <c r="B27" s="262" t="s">
        <v>1</v>
      </c>
      <c r="C27" s="262"/>
      <c r="D27" s="264" t="s">
        <v>2</v>
      </c>
      <c r="E27" s="266" t="s">
        <v>41</v>
      </c>
      <c r="F27" s="262" t="s">
        <v>38</v>
      </c>
      <c r="G27" s="262"/>
      <c r="H27" s="262"/>
      <c r="I27" s="262"/>
      <c r="J27" s="262" t="s">
        <v>39</v>
      </c>
      <c r="K27" s="262"/>
      <c r="L27" s="262"/>
      <c r="M27" s="262"/>
      <c r="N27" s="260" t="s">
        <v>40</v>
      </c>
      <c r="O27" s="261"/>
      <c r="P27" s="261"/>
      <c r="Q27" s="261"/>
      <c r="R27" s="273"/>
      <c r="S27" s="262" t="s">
        <v>45</v>
      </c>
      <c r="T27" s="262"/>
      <c r="U27" s="262"/>
      <c r="V27" s="262"/>
      <c r="W27" s="262"/>
      <c r="X27" s="13"/>
      <c r="Y27" s="13"/>
    </row>
    <row r="28" spans="1:26" ht="45" x14ac:dyDescent="0.25">
      <c r="A28" s="263"/>
      <c r="B28" s="262"/>
      <c r="C28" s="262"/>
      <c r="D28" s="265"/>
      <c r="E28" s="267"/>
      <c r="F28" s="4" t="s">
        <v>42</v>
      </c>
      <c r="G28" s="4" t="s">
        <v>13</v>
      </c>
      <c r="H28" s="4" t="s">
        <v>14</v>
      </c>
      <c r="I28" s="4" t="s">
        <v>25</v>
      </c>
      <c r="J28" s="4" t="s">
        <v>42</v>
      </c>
      <c r="K28" s="4" t="s">
        <v>13</v>
      </c>
      <c r="L28" s="4" t="s">
        <v>14</v>
      </c>
      <c r="M28" s="4" t="s">
        <v>25</v>
      </c>
      <c r="N28" s="4" t="s">
        <v>43</v>
      </c>
      <c r="O28" s="4" t="s">
        <v>42</v>
      </c>
      <c r="P28" s="4" t="s">
        <v>13</v>
      </c>
      <c r="Q28" s="4" t="s">
        <v>3</v>
      </c>
      <c r="R28" s="4" t="s">
        <v>25</v>
      </c>
      <c r="S28" s="4" t="s">
        <v>43</v>
      </c>
      <c r="T28" s="4" t="s">
        <v>42</v>
      </c>
      <c r="U28" s="4" t="s">
        <v>13</v>
      </c>
      <c r="V28" s="5" t="s">
        <v>3</v>
      </c>
      <c r="W28" s="4" t="s">
        <v>25</v>
      </c>
      <c r="X28" s="13"/>
      <c r="Y28" s="14"/>
    </row>
    <row r="29" spans="1:26" x14ac:dyDescent="0.25">
      <c r="A29" s="6" t="s">
        <v>8</v>
      </c>
      <c r="B29" s="259" t="s">
        <v>10</v>
      </c>
      <c r="C29" s="259"/>
      <c r="D29" s="5" t="s">
        <v>9</v>
      </c>
      <c r="E29" s="35">
        <v>2.3E-2</v>
      </c>
      <c r="F29" s="35">
        <v>591.6</v>
      </c>
      <c r="G29" s="35">
        <f>E29*F29*12</f>
        <v>163.2816</v>
      </c>
      <c r="H29" s="35">
        <v>30</v>
      </c>
      <c r="I29" s="35">
        <f>G29+(G29*30%)</f>
        <v>212.26607999999999</v>
      </c>
      <c r="J29" s="35">
        <v>363.78</v>
      </c>
      <c r="K29" s="35">
        <f>E29*J29*9</f>
        <v>75.302459999999996</v>
      </c>
      <c r="L29" s="35">
        <v>30</v>
      </c>
      <c r="M29" s="35">
        <f>K29+(K29*30%)</f>
        <v>97.893197999999998</v>
      </c>
      <c r="N29" s="35">
        <v>2.8000000000000001E-2</v>
      </c>
      <c r="O29" s="35">
        <v>806.35</v>
      </c>
      <c r="P29" s="35">
        <f>N29*O29*9</f>
        <v>203.2002</v>
      </c>
      <c r="Q29" s="107"/>
      <c r="R29" s="35">
        <f>P29</f>
        <v>203.2002</v>
      </c>
      <c r="S29" s="35">
        <v>2.8000000000000001E-2</v>
      </c>
      <c r="T29" s="35">
        <v>739.1</v>
      </c>
      <c r="U29" s="35">
        <f>S29*T29*12</f>
        <v>248.33760000000001</v>
      </c>
      <c r="V29" s="35">
        <v>110</v>
      </c>
      <c r="W29" s="35">
        <f>U29+273.17-8.31</f>
        <v>513.19760000000008</v>
      </c>
      <c r="X29" s="9"/>
      <c r="Y29" s="9"/>
    </row>
    <row r="30" spans="1:26" x14ac:dyDescent="0.25">
      <c r="A30" s="6" t="s">
        <v>17</v>
      </c>
      <c r="B30" s="259" t="s">
        <v>18</v>
      </c>
      <c r="C30" s="259"/>
      <c r="D30" s="8" t="s">
        <v>19</v>
      </c>
      <c r="E30" s="35">
        <v>18</v>
      </c>
      <c r="F30" s="35"/>
      <c r="G30" s="112">
        <f>E30*F29*222*8/1000</f>
        <v>18912.268800000002</v>
      </c>
      <c r="H30" s="35"/>
      <c r="I30" s="35">
        <v>4043</v>
      </c>
      <c r="J30" s="35"/>
      <c r="K30" s="35">
        <f>J29*E30*185*10/1000</f>
        <v>12113.874</v>
      </c>
      <c r="L30" s="35">
        <v>-10</v>
      </c>
      <c r="M30" s="35">
        <f>K30-(K30*10%)</f>
        <v>10902.4866</v>
      </c>
      <c r="N30" s="35"/>
      <c r="O30" s="35"/>
      <c r="P30" s="35">
        <f>(18*541.9*360*8)/1000+(18*216.45*360*24)/1000</f>
        <v>61754.399999999994</v>
      </c>
      <c r="Q30" s="35">
        <v>80</v>
      </c>
      <c r="R30" s="35">
        <v>111408.17</v>
      </c>
      <c r="S30" s="35"/>
      <c r="T30" s="35"/>
      <c r="U30" s="35">
        <f>(18*739.1*348*16/1000)+(18*739.1*12*8/1000)</f>
        <v>75352.723200000008</v>
      </c>
      <c r="V30" s="35">
        <v>10</v>
      </c>
      <c r="W30" s="35">
        <f>U30+(U30*V30%)</f>
        <v>82887.995520000011</v>
      </c>
      <c r="X30" s="9"/>
      <c r="Y30" s="9"/>
    </row>
    <row r="31" spans="1:26" x14ac:dyDescent="0.25">
      <c r="A31" s="6"/>
      <c r="B31" s="19"/>
      <c r="C31" s="20"/>
      <c r="D31" s="8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9"/>
      <c r="Y31" s="9"/>
    </row>
    <row r="32" spans="1:26" x14ac:dyDescent="0.25">
      <c r="A32" s="6"/>
      <c r="B32" s="19"/>
      <c r="C32" s="20"/>
      <c r="D32" s="8"/>
      <c r="E32" s="7"/>
      <c r="F32" s="7"/>
      <c r="G32" s="22"/>
      <c r="H32" s="7"/>
      <c r="I32" s="7"/>
      <c r="J32" s="7"/>
      <c r="K32" s="22"/>
      <c r="L32" s="7"/>
      <c r="M32" s="22"/>
      <c r="N32" s="7"/>
      <c r="O32" s="7"/>
      <c r="P32" s="22"/>
      <c r="Q32" s="7"/>
      <c r="R32" s="22"/>
      <c r="S32" s="7"/>
      <c r="T32" s="7"/>
      <c r="U32" s="22"/>
      <c r="V32" s="7"/>
      <c r="W32" s="22"/>
      <c r="X32" s="9"/>
      <c r="Y32" s="9"/>
    </row>
    <row r="33" spans="1:25" x14ac:dyDescent="0.25">
      <c r="A33" s="6"/>
      <c r="B33" s="19"/>
      <c r="C33" s="20"/>
      <c r="D33" s="8"/>
      <c r="E33" s="270" t="s">
        <v>38</v>
      </c>
      <c r="F33" s="271"/>
      <c r="G33" s="271"/>
      <c r="H33" s="271"/>
      <c r="I33" s="272"/>
      <c r="J33" s="270" t="s">
        <v>39</v>
      </c>
      <c r="K33" s="271"/>
      <c r="L33" s="271"/>
      <c r="M33" s="271"/>
      <c r="N33" s="272"/>
      <c r="O33" s="260" t="s">
        <v>40</v>
      </c>
      <c r="P33" s="261"/>
      <c r="Q33" s="261"/>
      <c r="R33" s="261"/>
      <c r="S33" s="273"/>
      <c r="T33" s="262" t="s">
        <v>45</v>
      </c>
      <c r="U33" s="262"/>
      <c r="V33" s="262"/>
      <c r="W33" s="262"/>
      <c r="X33" s="262"/>
      <c r="Y33" s="9"/>
    </row>
    <row r="34" spans="1:25" ht="105" x14ac:dyDescent="0.25">
      <c r="A34" s="6"/>
      <c r="B34" s="270"/>
      <c r="C34" s="271"/>
      <c r="D34" s="8"/>
      <c r="E34" s="24" t="s">
        <v>46</v>
      </c>
      <c r="F34" s="4" t="s">
        <v>48</v>
      </c>
      <c r="G34" s="4" t="s">
        <v>13</v>
      </c>
      <c r="H34" s="4" t="s">
        <v>14</v>
      </c>
      <c r="I34" s="4" t="s">
        <v>25</v>
      </c>
      <c r="J34" s="24" t="s">
        <v>46</v>
      </c>
      <c r="K34" s="4" t="s">
        <v>48</v>
      </c>
      <c r="L34" s="4" t="s">
        <v>13</v>
      </c>
      <c r="M34" s="4" t="s">
        <v>14</v>
      </c>
      <c r="N34" s="4" t="s">
        <v>25</v>
      </c>
      <c r="O34" s="24" t="s">
        <v>46</v>
      </c>
      <c r="P34" s="4" t="s">
        <v>48</v>
      </c>
      <c r="Q34" s="4" t="s">
        <v>13</v>
      </c>
      <c r="R34" s="4" t="s">
        <v>14</v>
      </c>
      <c r="S34" s="4" t="s">
        <v>25</v>
      </c>
      <c r="T34" s="24" t="s">
        <v>46</v>
      </c>
      <c r="U34" s="4" t="s">
        <v>48</v>
      </c>
      <c r="V34" s="4" t="s">
        <v>13</v>
      </c>
      <c r="W34" s="4" t="s">
        <v>14</v>
      </c>
      <c r="X34" s="4" t="s">
        <v>25</v>
      </c>
      <c r="Y34" s="9"/>
    </row>
    <row r="35" spans="1:25" x14ac:dyDescent="0.25">
      <c r="A35" s="6" t="s">
        <v>20</v>
      </c>
      <c r="B35" s="259" t="s">
        <v>21</v>
      </c>
      <c r="C35" s="259"/>
      <c r="D35" s="8" t="s">
        <v>22</v>
      </c>
      <c r="E35" s="25" t="s">
        <v>47</v>
      </c>
      <c r="F35" s="6" t="s">
        <v>49</v>
      </c>
      <c r="G35" s="26">
        <f>(23*12*234)/1000+((65*10*234)/1000+(115*10*210)/1000)/8*3+(12*32*247/1000)</f>
        <v>307.03200000000004</v>
      </c>
      <c r="H35" s="7">
        <v>-10</v>
      </c>
      <c r="I35" s="22">
        <f>G35-(G35*10%)</f>
        <v>276.32880000000006</v>
      </c>
      <c r="J35" s="6" t="s">
        <v>50</v>
      </c>
      <c r="K35" s="6" t="s">
        <v>51</v>
      </c>
      <c r="L35" s="22">
        <f>((12*23*234/1000)+(10*364*70/1000))-((12*23*234/1000)+(10*364*70/1000))*70%</f>
        <v>95.815200000000004</v>
      </c>
      <c r="M35" s="7">
        <v>-7</v>
      </c>
      <c r="N35" s="22">
        <v>87</v>
      </c>
      <c r="O35" s="25" t="s">
        <v>47</v>
      </c>
      <c r="P35" s="6" t="s">
        <v>52</v>
      </c>
      <c r="Q35" s="7">
        <f>(12*32*320/1000)+(10*109*52*5*6/8/1000)</f>
        <v>335.43</v>
      </c>
      <c r="R35" s="7"/>
      <c r="S35" s="7">
        <v>190</v>
      </c>
      <c r="T35" s="7"/>
      <c r="U35" s="22"/>
      <c r="V35" s="7">
        <f>(10*20*40*320)/1000+450+(4.5*320)</f>
        <v>4450</v>
      </c>
      <c r="W35" s="7">
        <v>10</v>
      </c>
      <c r="X35" s="7">
        <f>V35+(V35*W35%)</f>
        <v>4895</v>
      </c>
      <c r="Y35" s="9"/>
    </row>
    <row r="36" spans="1:25" x14ac:dyDescent="0.25">
      <c r="A36" s="6" t="s">
        <v>27</v>
      </c>
      <c r="B36" s="259" t="s">
        <v>24</v>
      </c>
      <c r="C36" s="259"/>
      <c r="D36" s="8" t="s">
        <v>22</v>
      </c>
      <c r="E36" s="25" t="s">
        <v>47</v>
      </c>
      <c r="F36" s="6" t="s">
        <v>49</v>
      </c>
      <c r="G36" s="26">
        <v>307.02999999999997</v>
      </c>
      <c r="H36" s="7">
        <v>-10</v>
      </c>
      <c r="I36" s="22">
        <f>G36-(G36*10%)</f>
        <v>276.327</v>
      </c>
      <c r="J36" s="6" t="s">
        <v>50</v>
      </c>
      <c r="K36" s="6" t="s">
        <v>51</v>
      </c>
      <c r="L36" s="22">
        <f>((12*23*234/1000)+(10*364*70/1000))-((12*23*234/1000)+(10*364*70/1000))*70%</f>
        <v>95.815200000000004</v>
      </c>
      <c r="M36" s="7">
        <v>-7</v>
      </c>
      <c r="N36" s="22">
        <v>87</v>
      </c>
      <c r="O36" s="25" t="s">
        <v>47</v>
      </c>
      <c r="P36" s="6" t="s">
        <v>52</v>
      </c>
      <c r="Q36" s="7">
        <f>(12*32*320/1000)+(10*109*52*5*6/8/1000)</f>
        <v>335.43</v>
      </c>
      <c r="R36" s="7">
        <v>35</v>
      </c>
      <c r="S36" s="7">
        <v>453</v>
      </c>
      <c r="T36" s="7"/>
      <c r="U36" s="22"/>
      <c r="V36" s="7">
        <f>(10*20*40*320)/1000+450+(4.5*320)</f>
        <v>4450</v>
      </c>
      <c r="W36" s="7">
        <v>495.4</v>
      </c>
      <c r="X36" s="7">
        <v>4399.6000000000004</v>
      </c>
      <c r="Y36" s="9"/>
    </row>
  </sheetData>
  <mergeCells count="37">
    <mergeCell ref="A18:Z18"/>
    <mergeCell ref="B14:C14"/>
    <mergeCell ref="N5:R5"/>
    <mergeCell ref="B8:C8"/>
    <mergeCell ref="B13:C13"/>
    <mergeCell ref="J5:M5"/>
    <mergeCell ref="S5:W5"/>
    <mergeCell ref="B12:C12"/>
    <mergeCell ref="E11:I11"/>
    <mergeCell ref="J11:N11"/>
    <mergeCell ref="O11:S11"/>
    <mergeCell ref="T11:X11"/>
    <mergeCell ref="B7:C7"/>
    <mergeCell ref="D5:D6"/>
    <mergeCell ref="E5:E6"/>
    <mergeCell ref="F5:I5"/>
    <mergeCell ref="A5:A6"/>
    <mergeCell ref="B5:C6"/>
    <mergeCell ref="T33:X33"/>
    <mergeCell ref="B34:C34"/>
    <mergeCell ref="B35:C35"/>
    <mergeCell ref="O33:S33"/>
    <mergeCell ref="A16:Z16"/>
    <mergeCell ref="A27:A28"/>
    <mergeCell ref="B27:C28"/>
    <mergeCell ref="D27:D28"/>
    <mergeCell ref="E27:E28"/>
    <mergeCell ref="F27:I27"/>
    <mergeCell ref="J27:M27"/>
    <mergeCell ref="N27:R27"/>
    <mergeCell ref="S27:W27"/>
    <mergeCell ref="A17:Z17"/>
    <mergeCell ref="B36:C36"/>
    <mergeCell ref="B29:C29"/>
    <mergeCell ref="B30:C30"/>
    <mergeCell ref="E33:I33"/>
    <mergeCell ref="J33:N33"/>
  </mergeCells>
  <pageMargins left="0.11811023622047245" right="0.11811023622047245" top="0.74803149606299213" bottom="0.74803149606299213" header="0.31496062992125984" footer="0.31496062992125984"/>
  <pageSetup paperSize="9" scale="70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Z43"/>
  <sheetViews>
    <sheetView topLeftCell="A10" workbookViewId="0">
      <selection activeCell="R43" sqref="R43"/>
    </sheetView>
  </sheetViews>
  <sheetFormatPr defaultRowHeight="15" x14ac:dyDescent="0.25"/>
  <cols>
    <col min="1" max="1" width="4.85546875" customWidth="1"/>
    <col min="2" max="2" width="10.140625" customWidth="1"/>
    <col min="3" max="3" width="5.7109375" customWidth="1"/>
    <col min="5" max="5" width="6.85546875" customWidth="1"/>
    <col min="6" max="6" width="8.28515625" customWidth="1"/>
    <col min="7" max="7" width="9.28515625" customWidth="1"/>
    <col min="8" max="8" width="9.140625" customWidth="1"/>
    <col min="10" max="10" width="8.28515625" customWidth="1"/>
    <col min="11" max="11" width="7.140625" customWidth="1"/>
    <col min="12" max="12" width="9.42578125" customWidth="1"/>
    <col min="13" max="13" width="6.5703125" customWidth="1"/>
    <col min="15" max="15" width="7.28515625" customWidth="1"/>
    <col min="16" max="16" width="6.5703125" customWidth="1"/>
    <col min="17" max="17" width="8.7109375" customWidth="1"/>
    <col min="18" max="18" width="7.5703125" customWidth="1"/>
    <col min="20" max="20" width="11.140625" customWidth="1"/>
    <col min="21" max="21" width="11.28515625" customWidth="1"/>
    <col min="22" max="22" width="10.140625" customWidth="1"/>
    <col min="23" max="23" width="5.42578125" customWidth="1"/>
    <col min="27" max="27" width="11.5703125" bestFit="1" customWidth="1"/>
  </cols>
  <sheetData>
    <row r="2" spans="1:26" x14ac:dyDescent="0.25">
      <c r="A2" s="9"/>
      <c r="B2" s="9"/>
      <c r="C2" s="9"/>
      <c r="D2" s="9"/>
      <c r="E2" s="21" t="s">
        <v>63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9"/>
      <c r="S2" s="9"/>
      <c r="T2" s="9"/>
      <c r="U2" s="21"/>
      <c r="V2" s="9"/>
      <c r="W2" s="9"/>
      <c r="X2" s="21"/>
    </row>
    <row r="3" spans="1:26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21" t="s">
        <v>26</v>
      </c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6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 t="s">
        <v>167</v>
      </c>
      <c r="V4" s="9"/>
      <c r="W4" s="9"/>
      <c r="X4" s="9"/>
    </row>
    <row r="5" spans="1:26" ht="31.5" customHeight="1" x14ac:dyDescent="0.25">
      <c r="A5" s="263" t="s">
        <v>4</v>
      </c>
      <c r="B5" s="262" t="s">
        <v>1</v>
      </c>
      <c r="C5" s="262"/>
      <c r="D5" s="264" t="s">
        <v>2</v>
      </c>
      <c r="E5" s="266" t="s">
        <v>41</v>
      </c>
      <c r="F5" s="262" t="s">
        <v>55</v>
      </c>
      <c r="G5" s="262"/>
      <c r="H5" s="262"/>
      <c r="I5" s="262"/>
      <c r="J5" s="260" t="s">
        <v>56</v>
      </c>
      <c r="K5" s="261"/>
      <c r="L5" s="261"/>
      <c r="M5" s="261"/>
      <c r="N5" s="273"/>
      <c r="O5" s="260" t="s">
        <v>57</v>
      </c>
      <c r="P5" s="261"/>
      <c r="Q5" s="261"/>
      <c r="R5" s="261"/>
      <c r="S5" s="273"/>
      <c r="T5" s="260" t="s">
        <v>58</v>
      </c>
      <c r="U5" s="261"/>
      <c r="V5" s="261"/>
      <c r="W5" s="261"/>
      <c r="X5" s="273"/>
    </row>
    <row r="6" spans="1:26" ht="45" x14ac:dyDescent="0.25">
      <c r="A6" s="263"/>
      <c r="B6" s="262"/>
      <c r="C6" s="262"/>
      <c r="D6" s="265"/>
      <c r="E6" s="267"/>
      <c r="F6" s="4" t="s">
        <v>42</v>
      </c>
      <c r="G6" s="4" t="s">
        <v>13</v>
      </c>
      <c r="H6" s="4" t="s">
        <v>14</v>
      </c>
      <c r="I6" s="4" t="s">
        <v>25</v>
      </c>
      <c r="J6" s="4" t="s">
        <v>60</v>
      </c>
      <c r="K6" s="4" t="s">
        <v>42</v>
      </c>
      <c r="L6" s="4" t="s">
        <v>13</v>
      </c>
      <c r="M6" s="4" t="s">
        <v>14</v>
      </c>
      <c r="N6" s="4" t="s">
        <v>25</v>
      </c>
      <c r="O6" s="4" t="s">
        <v>43</v>
      </c>
      <c r="P6" s="4" t="s">
        <v>42</v>
      </c>
      <c r="Q6" s="4" t="s">
        <v>13</v>
      </c>
      <c r="R6" s="4" t="s">
        <v>3</v>
      </c>
      <c r="S6" s="4" t="s">
        <v>25</v>
      </c>
      <c r="T6" s="4" t="s">
        <v>43</v>
      </c>
      <c r="U6" s="4" t="s">
        <v>42</v>
      </c>
      <c r="V6" s="4" t="s">
        <v>13</v>
      </c>
      <c r="W6" s="4" t="s">
        <v>3</v>
      </c>
      <c r="X6" s="4" t="s">
        <v>25</v>
      </c>
    </row>
    <row r="7" spans="1:26" x14ac:dyDescent="0.25">
      <c r="A7" s="6" t="s">
        <v>8</v>
      </c>
      <c r="B7" s="259" t="s">
        <v>10</v>
      </c>
      <c r="C7" s="259"/>
      <c r="D7" s="5" t="s">
        <v>9</v>
      </c>
      <c r="E7" s="5">
        <v>2.4E-2</v>
      </c>
      <c r="F7" s="3">
        <v>1075.7</v>
      </c>
      <c r="G7" s="15">
        <f>E7*F7*9</f>
        <v>232.35120000000001</v>
      </c>
      <c r="H7" s="3"/>
      <c r="I7" s="15">
        <v>228.8</v>
      </c>
      <c r="J7" s="16">
        <v>3.2000000000000001E-2</v>
      </c>
      <c r="K7" s="3">
        <v>287</v>
      </c>
      <c r="L7" s="15">
        <f>K7*J7*9</f>
        <v>82.656000000000006</v>
      </c>
      <c r="M7" s="3"/>
      <c r="N7" s="15">
        <v>79.7</v>
      </c>
      <c r="O7" s="16">
        <v>2.5999999999999999E-2</v>
      </c>
      <c r="P7" s="3">
        <v>381.6</v>
      </c>
      <c r="Q7" s="15">
        <f>O7*P7*9</f>
        <v>89.294399999999996</v>
      </c>
      <c r="R7" s="3">
        <v>-5</v>
      </c>
      <c r="S7" s="15">
        <v>84.4</v>
      </c>
      <c r="T7" s="3" t="s">
        <v>61</v>
      </c>
      <c r="U7" s="3" t="s">
        <v>62</v>
      </c>
      <c r="V7" s="15">
        <f>(688.9*0.029*9)+(561.3*0.026*9)</f>
        <v>311.14710000000002</v>
      </c>
      <c r="W7" s="3">
        <v>5</v>
      </c>
      <c r="X7" s="15">
        <v>319</v>
      </c>
    </row>
    <row r="8" spans="1:26" x14ac:dyDescent="0.25">
      <c r="A8" s="6" t="s">
        <v>17</v>
      </c>
      <c r="B8" s="259" t="s">
        <v>18</v>
      </c>
      <c r="C8" s="259"/>
      <c r="D8" s="8" t="s">
        <v>19</v>
      </c>
      <c r="E8" s="8">
        <v>18</v>
      </c>
      <c r="F8" s="3"/>
      <c r="G8" s="15">
        <f>(18*348.1*240*8)/1000+(18*601.6*240*3)/1000+(18*126*240*8)/1000</f>
        <v>24181.632000000001</v>
      </c>
      <c r="H8" s="3">
        <v>27</v>
      </c>
      <c r="I8" s="15">
        <v>30657</v>
      </c>
      <c r="J8" s="3">
        <v>18</v>
      </c>
      <c r="K8" s="3"/>
      <c r="L8" s="15">
        <f>(18*73.5*240*8)/1000+(18*25*96*2)/1000+(18*53*3*94.9)/1000+(18*78.7*51*2)/1000+(18*53*2*94.9)/1000</f>
        <v>3223.7261999999996</v>
      </c>
      <c r="M8" s="3">
        <v>7</v>
      </c>
      <c r="N8" s="15">
        <v>3444</v>
      </c>
      <c r="O8" s="3"/>
      <c r="P8" s="3"/>
      <c r="Q8" s="15">
        <f>18*381.6*240*6/1000</f>
        <v>9891.0720000000001</v>
      </c>
      <c r="R8" s="3">
        <v>8</v>
      </c>
      <c r="S8" s="15">
        <v>10685</v>
      </c>
      <c r="T8" s="3"/>
      <c r="U8" s="3"/>
      <c r="V8" s="15">
        <f>(18*688.9*230*8/1000)+(18*289.38*230*8/1000)+(18*138*230*8/1000)+(18*133.5*230*8)/1000+18912.27</f>
        <v>60304.983599999992</v>
      </c>
      <c r="W8" s="3">
        <v>-50</v>
      </c>
      <c r="X8" s="15">
        <v>30983</v>
      </c>
    </row>
    <row r="9" spans="1:26" x14ac:dyDescent="0.25">
      <c r="A9" s="6" t="s">
        <v>20</v>
      </c>
      <c r="B9" s="259" t="s">
        <v>21</v>
      </c>
      <c r="C9" s="259"/>
      <c r="D9" s="8" t="s">
        <v>22</v>
      </c>
      <c r="E9" s="8" t="s">
        <v>64</v>
      </c>
      <c r="F9" s="3"/>
      <c r="G9" s="15">
        <f>(12*36*240/1000)+(8.6*260*70/1000)</f>
        <v>260.20000000000005</v>
      </c>
      <c r="H9" s="3">
        <v>20</v>
      </c>
      <c r="I9" s="15">
        <v>306</v>
      </c>
      <c r="J9" s="3"/>
      <c r="K9" s="3"/>
      <c r="L9" s="15">
        <f>(12*5*240/1000)+(8.6*24*70/1000)</f>
        <v>28.847999999999999</v>
      </c>
      <c r="M9" s="3">
        <v>20</v>
      </c>
      <c r="N9" s="15">
        <v>32</v>
      </c>
      <c r="O9" s="3"/>
      <c r="P9" s="3"/>
      <c r="Q9" s="15">
        <f>(12*7*240/1000)+(8.6*50*60/1000)</f>
        <v>45.96</v>
      </c>
      <c r="R9" s="3">
        <v>10</v>
      </c>
      <c r="S9" s="15">
        <v>50</v>
      </c>
      <c r="T9" s="3"/>
      <c r="U9" s="3"/>
      <c r="V9" s="29">
        <f>(12*32*247/1000)</f>
        <v>94.847999999999999</v>
      </c>
      <c r="W9" s="3"/>
      <c r="X9" s="3">
        <v>13</v>
      </c>
    </row>
    <row r="10" spans="1:26" x14ac:dyDescent="0.25">
      <c r="A10" s="6" t="s">
        <v>27</v>
      </c>
      <c r="B10" s="259" t="s">
        <v>24</v>
      </c>
      <c r="C10" s="259"/>
      <c r="D10" s="8" t="s">
        <v>22</v>
      </c>
      <c r="E10" s="8"/>
      <c r="F10" s="3"/>
      <c r="G10" s="15">
        <f>(12*36*240/1000)+(8.6*260*70/1000)</f>
        <v>260.20000000000005</v>
      </c>
      <c r="H10" s="3">
        <v>20</v>
      </c>
      <c r="I10" s="15">
        <v>306</v>
      </c>
      <c r="J10" s="3"/>
      <c r="K10" s="3"/>
      <c r="L10" s="15"/>
      <c r="M10" s="3"/>
      <c r="N10" s="3"/>
      <c r="O10" s="3"/>
      <c r="P10" s="3"/>
      <c r="Q10" s="15">
        <f>(12*7*240/1000)+(8.6*50*60/1000)</f>
        <v>45.96</v>
      </c>
      <c r="R10" s="3">
        <v>10</v>
      </c>
      <c r="S10" s="15">
        <v>50</v>
      </c>
      <c r="T10" s="3"/>
      <c r="U10" s="3"/>
      <c r="V10" s="15"/>
      <c r="W10" s="3"/>
      <c r="X10" s="3">
        <v>8</v>
      </c>
    </row>
    <row r="12" spans="1:26" x14ac:dyDescent="0.25">
      <c r="B12" s="28" t="s">
        <v>65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</row>
    <row r="13" spans="1:26" ht="34.5" customHeight="1" x14ac:dyDescent="0.25">
      <c r="A13" s="268" t="s">
        <v>66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8"/>
      <c r="V13" s="268"/>
      <c r="W13" s="268"/>
      <c r="X13" s="268"/>
      <c r="Y13" s="268"/>
      <c r="Z13" s="268"/>
    </row>
    <row r="14" spans="1:26" ht="42.75" customHeight="1" x14ac:dyDescent="0.25">
      <c r="A14" s="269" t="s">
        <v>67</v>
      </c>
      <c r="B14" s="269"/>
      <c r="C14" s="269"/>
      <c r="D14" s="269"/>
      <c r="E14" s="269"/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</row>
    <row r="15" spans="1:26" ht="33.75" customHeight="1" x14ac:dyDescent="0.25">
      <c r="A15" s="269" t="s">
        <v>68</v>
      </c>
      <c r="B15" s="269"/>
      <c r="C15" s="269"/>
      <c r="D15" s="269"/>
      <c r="E15" s="269"/>
      <c r="F15" s="269"/>
      <c r="G15" s="269"/>
      <c r="H15" s="269"/>
      <c r="I15" s="269"/>
      <c r="J15" s="269"/>
      <c r="K15" s="269"/>
      <c r="L15" s="269"/>
      <c r="M15" s="269"/>
      <c r="N15" s="269"/>
      <c r="O15" s="269"/>
      <c r="P15" s="269"/>
      <c r="Q15" s="269"/>
      <c r="R15" s="269"/>
      <c r="S15" s="269"/>
      <c r="T15" s="269"/>
      <c r="U15" s="269"/>
      <c r="V15" s="269"/>
      <c r="W15" s="269"/>
      <c r="X15" s="269"/>
      <c r="Y15" s="269"/>
      <c r="Z15" s="269"/>
    </row>
    <row r="18" spans="1:24" ht="33" customHeight="1" x14ac:dyDescent="0.25">
      <c r="A18" s="263" t="s">
        <v>4</v>
      </c>
      <c r="B18" s="262" t="s">
        <v>1</v>
      </c>
      <c r="C18" s="262"/>
      <c r="D18" s="264" t="s">
        <v>2</v>
      </c>
      <c r="E18" s="266" t="s">
        <v>41</v>
      </c>
      <c r="F18" s="260" t="s">
        <v>59</v>
      </c>
      <c r="G18" s="261"/>
      <c r="H18" s="261"/>
      <c r="I18" s="261"/>
      <c r="J18" s="273"/>
    </row>
    <row r="19" spans="1:24" ht="45" x14ac:dyDescent="0.25">
      <c r="A19" s="263"/>
      <c r="B19" s="262"/>
      <c r="C19" s="262"/>
      <c r="D19" s="265"/>
      <c r="E19" s="267"/>
      <c r="F19" s="4" t="s">
        <v>43</v>
      </c>
      <c r="G19" s="4" t="s">
        <v>42</v>
      </c>
      <c r="H19" s="4" t="s">
        <v>13</v>
      </c>
      <c r="I19" s="5" t="s">
        <v>3</v>
      </c>
      <c r="J19" s="4" t="s">
        <v>25</v>
      </c>
    </row>
    <row r="20" spans="1:24" x14ac:dyDescent="0.25">
      <c r="A20" s="6" t="s">
        <v>8</v>
      </c>
      <c r="B20" s="274" t="s">
        <v>10</v>
      </c>
      <c r="C20" s="275"/>
      <c r="D20" s="5" t="s">
        <v>9</v>
      </c>
      <c r="E20" s="5">
        <v>2.4E-2</v>
      </c>
      <c r="F20" s="3">
        <v>2.5999999999999999E-2</v>
      </c>
      <c r="G20" s="3">
        <v>654.20000000000005</v>
      </c>
      <c r="H20" s="15">
        <f>F20*G20*9</f>
        <v>153.08279999999999</v>
      </c>
      <c r="I20" s="3">
        <v>30</v>
      </c>
      <c r="J20" s="15">
        <v>190.1</v>
      </c>
    </row>
    <row r="21" spans="1:24" x14ac:dyDescent="0.25">
      <c r="A21" s="6" t="s">
        <v>17</v>
      </c>
      <c r="B21" s="274" t="s">
        <v>18</v>
      </c>
      <c r="C21" s="275"/>
      <c r="D21" s="8" t="s">
        <v>19</v>
      </c>
      <c r="E21" s="8">
        <v>18</v>
      </c>
      <c r="F21" s="3"/>
      <c r="G21" s="3"/>
      <c r="H21" s="15">
        <f>(E8*G20*240*8)/1000</f>
        <v>22609.151999999998</v>
      </c>
      <c r="I21" s="3">
        <v>-50</v>
      </c>
      <c r="J21" s="15">
        <v>10868</v>
      </c>
    </row>
    <row r="22" spans="1:24" x14ac:dyDescent="0.25">
      <c r="A22" s="6" t="s">
        <v>20</v>
      </c>
      <c r="B22" s="274" t="s">
        <v>21</v>
      </c>
      <c r="C22" s="275"/>
      <c r="D22" s="8" t="s">
        <v>22</v>
      </c>
      <c r="E22" s="8" t="s">
        <v>64</v>
      </c>
      <c r="F22" s="3"/>
      <c r="G22" s="3"/>
      <c r="H22" s="15">
        <f>(12*15*240/1000)+(8.6*2800/1000)</f>
        <v>67.28</v>
      </c>
      <c r="I22" s="3">
        <v>10</v>
      </c>
      <c r="J22" s="15">
        <v>71</v>
      </c>
    </row>
    <row r="23" spans="1:24" x14ac:dyDescent="0.25">
      <c r="A23" s="6" t="s">
        <v>27</v>
      </c>
      <c r="B23" s="274" t="s">
        <v>24</v>
      </c>
      <c r="C23" s="275"/>
      <c r="D23" s="8" t="s">
        <v>22</v>
      </c>
      <c r="E23" s="8"/>
      <c r="F23" s="3"/>
      <c r="G23" s="3"/>
      <c r="H23" s="15"/>
      <c r="I23" s="3"/>
      <c r="J23" s="15">
        <v>71</v>
      </c>
    </row>
    <row r="26" spans="1:24" x14ac:dyDescent="0.25">
      <c r="A26" s="9"/>
      <c r="B26" s="9"/>
      <c r="C26" s="9"/>
      <c r="D26" s="9"/>
      <c r="E26" s="21" t="s">
        <v>63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9"/>
      <c r="S26" s="9"/>
      <c r="T26" s="9"/>
      <c r="U26" s="21"/>
      <c r="V26" s="9"/>
      <c r="W26" s="9"/>
      <c r="X26" s="21"/>
    </row>
    <row r="27" spans="1:24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21" t="s">
        <v>26</v>
      </c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x14ac:dyDescent="0.25">
      <c r="A28" s="9" t="s">
        <v>218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>
        <v>2018</v>
      </c>
      <c r="N28" s="9"/>
      <c r="O28" s="9"/>
      <c r="P28" s="9"/>
      <c r="Q28" s="9"/>
      <c r="R28" s="9"/>
      <c r="S28" s="9"/>
      <c r="T28" s="9"/>
      <c r="U28" s="9" t="s">
        <v>167</v>
      </c>
      <c r="V28" s="9"/>
      <c r="W28" s="9"/>
      <c r="X28" s="9"/>
    </row>
    <row r="29" spans="1:24" x14ac:dyDescent="0.25">
      <c r="A29" s="263" t="s">
        <v>4</v>
      </c>
      <c r="B29" s="262" t="s">
        <v>1</v>
      </c>
      <c r="C29" s="262"/>
      <c r="D29" s="264" t="s">
        <v>2</v>
      </c>
      <c r="E29" s="266" t="s">
        <v>41</v>
      </c>
      <c r="F29" s="262" t="s">
        <v>55</v>
      </c>
      <c r="G29" s="262"/>
      <c r="H29" s="262"/>
      <c r="I29" s="262"/>
      <c r="J29" s="260" t="s">
        <v>56</v>
      </c>
      <c r="K29" s="261"/>
      <c r="L29" s="261"/>
      <c r="M29" s="261"/>
      <c r="N29" s="273"/>
      <c r="O29" s="260" t="s">
        <v>57</v>
      </c>
      <c r="P29" s="261"/>
      <c r="Q29" s="261"/>
      <c r="R29" s="261"/>
      <c r="S29" s="273"/>
      <c r="T29" s="260" t="s">
        <v>58</v>
      </c>
      <c r="U29" s="261"/>
      <c r="V29" s="261"/>
      <c r="W29" s="261"/>
      <c r="X29" s="273"/>
    </row>
    <row r="30" spans="1:24" ht="45" x14ac:dyDescent="0.25">
      <c r="A30" s="263"/>
      <c r="B30" s="262"/>
      <c r="C30" s="262"/>
      <c r="D30" s="265"/>
      <c r="E30" s="267"/>
      <c r="F30" s="4" t="s">
        <v>42</v>
      </c>
      <c r="G30" s="4" t="s">
        <v>13</v>
      </c>
      <c r="H30" s="4" t="s">
        <v>14</v>
      </c>
      <c r="I30" s="4" t="s">
        <v>25</v>
      </c>
      <c r="J30" s="4" t="s">
        <v>60</v>
      </c>
      <c r="K30" s="4" t="s">
        <v>42</v>
      </c>
      <c r="L30" s="4" t="s">
        <v>13</v>
      </c>
      <c r="M30" s="4" t="s">
        <v>14</v>
      </c>
      <c r="N30" s="4" t="s">
        <v>25</v>
      </c>
      <c r="O30" s="4" t="s">
        <v>43</v>
      </c>
      <c r="P30" s="4" t="s">
        <v>42</v>
      </c>
      <c r="Q30" s="4" t="s">
        <v>13</v>
      </c>
      <c r="R30" s="4" t="s">
        <v>3</v>
      </c>
      <c r="S30" s="4" t="s">
        <v>25</v>
      </c>
      <c r="T30" s="4" t="s">
        <v>43</v>
      </c>
      <c r="U30" s="4" t="s">
        <v>42</v>
      </c>
      <c r="V30" s="4" t="s">
        <v>13</v>
      </c>
      <c r="W30" s="4" t="s">
        <v>3</v>
      </c>
      <c r="X30" s="4" t="s">
        <v>25</v>
      </c>
    </row>
    <row r="31" spans="1:24" x14ac:dyDescent="0.25">
      <c r="A31" s="6" t="s">
        <v>8</v>
      </c>
      <c r="B31" s="259" t="s">
        <v>10</v>
      </c>
      <c r="C31" s="259"/>
      <c r="D31" s="5" t="s">
        <v>9</v>
      </c>
      <c r="E31" s="5">
        <v>2.4E-2</v>
      </c>
      <c r="F31" s="3">
        <v>1075.7</v>
      </c>
      <c r="G31" s="15">
        <f>E31*F31*9</f>
        <v>232.35120000000001</v>
      </c>
      <c r="H31" s="3">
        <v>-10</v>
      </c>
      <c r="I31" s="15">
        <f>G31-(G31*10%)</f>
        <v>209.11608000000001</v>
      </c>
      <c r="J31" s="16">
        <v>3.2000000000000001E-2</v>
      </c>
      <c r="K31" s="3">
        <v>287</v>
      </c>
      <c r="L31" s="15">
        <f>K31*J31*9</f>
        <v>82.656000000000006</v>
      </c>
      <c r="M31" s="3"/>
      <c r="N31" s="15">
        <f>L31</f>
        <v>82.656000000000006</v>
      </c>
      <c r="O31" s="16">
        <v>2.5999999999999999E-2</v>
      </c>
      <c r="P31" s="3">
        <v>381.6</v>
      </c>
      <c r="Q31" s="15">
        <f>O31*P31*9</f>
        <v>89.294399999999996</v>
      </c>
      <c r="R31" s="3">
        <v>-10</v>
      </c>
      <c r="S31" s="15">
        <f>Q31-(Q31*10%)</f>
        <v>80.364959999999996</v>
      </c>
      <c r="T31" s="3" t="s">
        <v>61</v>
      </c>
      <c r="U31" s="3" t="s">
        <v>62</v>
      </c>
      <c r="V31" s="15">
        <f>(688.9*0.029*9)+(561.3*0.026*9)</f>
        <v>311.14710000000002</v>
      </c>
      <c r="W31" s="3">
        <v>20</v>
      </c>
      <c r="X31" s="15">
        <f>V31+(V31*20%)</f>
        <v>373.37652000000003</v>
      </c>
    </row>
    <row r="32" spans="1:24" x14ac:dyDescent="0.25">
      <c r="A32" s="6" t="s">
        <v>17</v>
      </c>
      <c r="B32" s="259" t="s">
        <v>18</v>
      </c>
      <c r="C32" s="259"/>
      <c r="D32" s="8" t="s">
        <v>19</v>
      </c>
      <c r="E32" s="8">
        <v>18</v>
      </c>
      <c r="F32" s="3"/>
      <c r="G32" s="15">
        <f>(18*348.1*240*8)/1000+(18*601.6*240*3)/1000+(18*126*240*8)/1000</f>
        <v>24181.632000000001</v>
      </c>
      <c r="H32" s="3"/>
      <c r="I32" s="15">
        <f>G32</f>
        <v>24181.632000000001</v>
      </c>
      <c r="J32" s="3">
        <v>18</v>
      </c>
      <c r="K32" s="3"/>
      <c r="L32" s="15">
        <f>(18*73.5*240*8)/1000+(18*25*96*2)/1000+(18*53*3*94.9)/1000+(18*78.7*51*2)/1000+(18*53*2*94.9)/1000</f>
        <v>3223.7261999999996</v>
      </c>
      <c r="M32" s="3">
        <v>-25</v>
      </c>
      <c r="N32" s="15">
        <f>L32-(L32*25%)</f>
        <v>2417.7946499999998</v>
      </c>
      <c r="O32" s="3"/>
      <c r="P32" s="3"/>
      <c r="Q32" s="15">
        <f>18*381.6*240*6/1000</f>
        <v>9891.0720000000001</v>
      </c>
      <c r="R32" s="3">
        <v>-10</v>
      </c>
      <c r="S32" s="15">
        <f>Q32-(Q32*10%)</f>
        <v>8901.9647999999997</v>
      </c>
      <c r="T32" s="3"/>
      <c r="U32" s="3"/>
      <c r="V32" s="15">
        <f>(18*688.9*230*8/1000)+(18*289.38*230*8/1000)+(18*138*230*8/1000)+(18*133.5*230*8)/1000+18912.27</f>
        <v>60304.983599999992</v>
      </c>
      <c r="W32" s="3">
        <v>-25</v>
      </c>
      <c r="X32" s="15">
        <f>V32-(V32*25%)</f>
        <v>45228.737699999998</v>
      </c>
    </row>
    <row r="33" spans="1:24" x14ac:dyDescent="0.25">
      <c r="A33" s="6" t="s">
        <v>20</v>
      </c>
      <c r="B33" s="259" t="s">
        <v>21</v>
      </c>
      <c r="C33" s="259"/>
      <c r="D33" s="8" t="s">
        <v>22</v>
      </c>
      <c r="E33" s="8" t="s">
        <v>64</v>
      </c>
      <c r="F33" s="3"/>
      <c r="G33" s="15">
        <f>(12*36*240/1000)+(8.6*260*70/1000)</f>
        <v>260.20000000000005</v>
      </c>
      <c r="H33" s="3">
        <v>20</v>
      </c>
      <c r="I33" s="15">
        <v>306</v>
      </c>
      <c r="J33" s="3"/>
      <c r="K33" s="3"/>
      <c r="L33" s="15">
        <f>(12*5*240/1000)+(8.6*24*70/1000)</f>
        <v>28.847999999999999</v>
      </c>
      <c r="M33" s="3">
        <v>20</v>
      </c>
      <c r="N33" s="15">
        <v>32</v>
      </c>
      <c r="O33" s="3"/>
      <c r="P33" s="3"/>
      <c r="Q33" s="15">
        <f>(12*7*240/1000)+(8.6*50*60/1000)</f>
        <v>45.96</v>
      </c>
      <c r="R33" s="3">
        <v>10</v>
      </c>
      <c r="S33" s="15">
        <v>50</v>
      </c>
      <c r="T33" s="3"/>
      <c r="U33" s="3"/>
      <c r="V33" s="29">
        <f>(12*32*247/1000)</f>
        <v>94.847999999999999</v>
      </c>
      <c r="W33" s="3"/>
      <c r="X33" s="3">
        <v>25</v>
      </c>
    </row>
    <row r="34" spans="1:24" x14ac:dyDescent="0.25">
      <c r="A34" s="6" t="s">
        <v>27</v>
      </c>
      <c r="B34" s="259" t="s">
        <v>24</v>
      </c>
      <c r="C34" s="259"/>
      <c r="D34" s="8" t="s">
        <v>22</v>
      </c>
      <c r="E34" s="8"/>
      <c r="F34" s="3"/>
      <c r="G34" s="15">
        <f>(12*36*240/1000)+(8.6*260*70/1000)</f>
        <v>260.20000000000005</v>
      </c>
      <c r="H34" s="3">
        <v>20</v>
      </c>
      <c r="I34" s="15">
        <v>306</v>
      </c>
      <c r="J34" s="3"/>
      <c r="K34" s="3"/>
      <c r="L34" s="15"/>
      <c r="M34" s="3"/>
      <c r="N34" s="3">
        <v>5</v>
      </c>
      <c r="O34" s="3"/>
      <c r="P34" s="3"/>
      <c r="Q34" s="15">
        <f>(12*7*240/1000)+(8.6*50*60/1000)</f>
        <v>45.96</v>
      </c>
      <c r="R34" s="3">
        <v>10</v>
      </c>
      <c r="S34" s="15">
        <v>50</v>
      </c>
      <c r="T34" s="3"/>
      <c r="U34" s="3"/>
      <c r="V34" s="15"/>
      <c r="W34" s="3"/>
      <c r="X34" s="3">
        <v>9</v>
      </c>
    </row>
    <row r="38" spans="1:24" x14ac:dyDescent="0.25">
      <c r="A38" s="263" t="s">
        <v>4</v>
      </c>
      <c r="B38" s="262" t="s">
        <v>1</v>
      </c>
      <c r="C38" s="262"/>
      <c r="D38" s="264" t="s">
        <v>2</v>
      </c>
      <c r="E38" s="266" t="s">
        <v>41</v>
      </c>
      <c r="F38" s="260" t="s">
        <v>59</v>
      </c>
      <c r="G38" s="261"/>
      <c r="H38" s="261"/>
      <c r="I38" s="261"/>
      <c r="J38" s="273"/>
    </row>
    <row r="39" spans="1:24" ht="45" x14ac:dyDescent="0.25">
      <c r="A39" s="263"/>
      <c r="B39" s="262"/>
      <c r="C39" s="262"/>
      <c r="D39" s="265"/>
      <c r="E39" s="267"/>
      <c r="F39" s="4" t="s">
        <v>43</v>
      </c>
      <c r="G39" s="4" t="s">
        <v>42</v>
      </c>
      <c r="H39" s="4" t="s">
        <v>13</v>
      </c>
      <c r="I39" s="5" t="s">
        <v>3</v>
      </c>
      <c r="J39" s="4" t="s">
        <v>25</v>
      </c>
    </row>
    <row r="40" spans="1:24" x14ac:dyDescent="0.25">
      <c r="A40" s="6" t="s">
        <v>8</v>
      </c>
      <c r="B40" s="274" t="s">
        <v>10</v>
      </c>
      <c r="C40" s="275"/>
      <c r="D40" s="5" t="s">
        <v>9</v>
      </c>
      <c r="E40" s="5">
        <v>2.4E-2</v>
      </c>
      <c r="F40" s="3">
        <v>2.5999999999999999E-2</v>
      </c>
      <c r="G40" s="3">
        <v>654.20000000000005</v>
      </c>
      <c r="H40" s="15">
        <f>F40*G40*9</f>
        <v>153.08279999999999</v>
      </c>
      <c r="I40" s="3">
        <v>20</v>
      </c>
      <c r="J40" s="15">
        <f>H40+(H40*20%)</f>
        <v>183.69935999999998</v>
      </c>
    </row>
    <row r="41" spans="1:24" x14ac:dyDescent="0.25">
      <c r="A41" s="6" t="s">
        <v>17</v>
      </c>
      <c r="B41" s="274" t="s">
        <v>18</v>
      </c>
      <c r="C41" s="275"/>
      <c r="D41" s="8" t="s">
        <v>19</v>
      </c>
      <c r="E41" s="8">
        <v>18</v>
      </c>
      <c r="F41" s="3"/>
      <c r="G41" s="3"/>
      <c r="H41" s="15">
        <v>22609.15</v>
      </c>
      <c r="I41" s="3">
        <v>-55</v>
      </c>
      <c r="J41" s="15">
        <f>H41-(H41*55%)</f>
        <v>10174.1175</v>
      </c>
    </row>
    <row r="42" spans="1:24" x14ac:dyDescent="0.25">
      <c r="A42" s="6" t="s">
        <v>20</v>
      </c>
      <c r="B42" s="274" t="s">
        <v>21</v>
      </c>
      <c r="C42" s="275"/>
      <c r="D42" s="8" t="s">
        <v>22</v>
      </c>
      <c r="E42" s="8" t="s">
        <v>64</v>
      </c>
      <c r="F42" s="3"/>
      <c r="G42" s="3"/>
      <c r="H42" s="15">
        <f>(12*15*240/1000)+(8.6*2800/1000)</f>
        <v>67.28</v>
      </c>
      <c r="I42" s="3">
        <v>25</v>
      </c>
      <c r="J42" s="15">
        <f>H42+(H42*20%)</f>
        <v>80.736000000000004</v>
      </c>
    </row>
    <row r="43" spans="1:24" x14ac:dyDescent="0.25">
      <c r="A43" s="6" t="s">
        <v>27</v>
      </c>
      <c r="B43" s="274" t="s">
        <v>24</v>
      </c>
      <c r="C43" s="275"/>
      <c r="D43" s="8" t="s">
        <v>22</v>
      </c>
      <c r="E43" s="8"/>
      <c r="F43" s="3"/>
      <c r="G43" s="3"/>
      <c r="H43" s="15"/>
      <c r="I43" s="3"/>
      <c r="J43" s="15"/>
    </row>
  </sheetData>
  <mergeCells count="45">
    <mergeCell ref="E18:E19"/>
    <mergeCell ref="B20:C20"/>
    <mergeCell ref="B22:C22"/>
    <mergeCell ref="B23:C23"/>
    <mergeCell ref="A18:A19"/>
    <mergeCell ref="B18:C19"/>
    <mergeCell ref="D18:D19"/>
    <mergeCell ref="B21:C21"/>
    <mergeCell ref="O5:S5"/>
    <mergeCell ref="A13:Z13"/>
    <mergeCell ref="A14:Z14"/>
    <mergeCell ref="A15:Z15"/>
    <mergeCell ref="F18:J18"/>
    <mergeCell ref="B7:C7"/>
    <mergeCell ref="B8:C8"/>
    <mergeCell ref="B9:C9"/>
    <mergeCell ref="B10:C10"/>
    <mergeCell ref="J5:N5"/>
    <mergeCell ref="T5:X5"/>
    <mergeCell ref="A5:A6"/>
    <mergeCell ref="B5:C6"/>
    <mergeCell ref="D5:D6"/>
    <mergeCell ref="E5:E6"/>
    <mergeCell ref="F5:I5"/>
    <mergeCell ref="A29:A30"/>
    <mergeCell ref="B29:C30"/>
    <mergeCell ref="D29:D30"/>
    <mergeCell ref="E29:E30"/>
    <mergeCell ref="F29:I29"/>
    <mergeCell ref="J29:N29"/>
    <mergeCell ref="O29:S29"/>
    <mergeCell ref="T29:X29"/>
    <mergeCell ref="B31:C31"/>
    <mergeCell ref="B32:C32"/>
    <mergeCell ref="B33:C33"/>
    <mergeCell ref="B34:C34"/>
    <mergeCell ref="A38:A39"/>
    <mergeCell ref="B38:C39"/>
    <mergeCell ref="D38:D39"/>
    <mergeCell ref="B43:C43"/>
    <mergeCell ref="E38:E39"/>
    <mergeCell ref="F38:J38"/>
    <mergeCell ref="B40:C40"/>
    <mergeCell ref="B41:C41"/>
    <mergeCell ref="B42:C42"/>
  </mergeCells>
  <pageMargins left="0.11811023622047245" right="0.11811023622047245" top="0.74803149606299213" bottom="0.74803149606299213" header="0.31496062992125984" footer="0.31496062992125984"/>
  <pageSetup paperSize="9" scale="65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4:AB102"/>
  <sheetViews>
    <sheetView showGridLines="0" workbookViewId="0">
      <selection activeCell="H59" sqref="H59"/>
    </sheetView>
  </sheetViews>
  <sheetFormatPr defaultRowHeight="15" x14ac:dyDescent="0.25"/>
  <cols>
    <col min="1" max="1" width="5" customWidth="1"/>
    <col min="4" max="4" width="3.28515625" customWidth="1"/>
    <col min="6" max="6" width="8.5703125" customWidth="1"/>
    <col min="7" max="7" width="5.85546875" customWidth="1"/>
    <col min="8" max="8" width="10.7109375" customWidth="1"/>
    <col min="9" max="9" width="4.5703125" customWidth="1"/>
    <col min="10" max="10" width="12.28515625" customWidth="1"/>
    <col min="11" max="11" width="9.7109375" customWidth="1"/>
    <col min="12" max="12" width="11.28515625" customWidth="1"/>
    <col min="13" max="13" width="9.85546875" customWidth="1"/>
    <col min="14" max="14" width="12.85546875" customWidth="1"/>
    <col min="15" max="15" width="10.7109375" customWidth="1"/>
    <col min="16" max="16" width="8" customWidth="1"/>
    <col min="17" max="17" width="4.140625" customWidth="1"/>
    <col min="18" max="18" width="12.85546875" customWidth="1"/>
    <col min="19" max="19" width="12.7109375" customWidth="1"/>
    <col min="20" max="20" width="7" customWidth="1"/>
    <col min="21" max="21" width="3.85546875" customWidth="1"/>
    <col min="22" max="22" width="10.42578125" customWidth="1"/>
    <col min="23" max="23" width="5.28515625" customWidth="1"/>
    <col min="24" max="24" width="8" customWidth="1"/>
    <col min="25" max="25" width="4.5703125" customWidth="1"/>
    <col min="26" max="26" width="10.28515625" customWidth="1"/>
    <col min="27" max="27" width="10.5703125" customWidth="1"/>
  </cols>
  <sheetData>
    <row r="4" spans="1:27" ht="68.25" customHeight="1" x14ac:dyDescent="0.25">
      <c r="A4" s="324" t="s">
        <v>4</v>
      </c>
      <c r="B4" s="326" t="s">
        <v>71</v>
      </c>
      <c r="C4" s="327"/>
      <c r="D4" s="328"/>
      <c r="E4" s="290" t="s">
        <v>2</v>
      </c>
      <c r="F4" s="276" t="s">
        <v>11</v>
      </c>
      <c r="G4" s="284" t="s">
        <v>5</v>
      </c>
      <c r="H4" s="285"/>
      <c r="I4" s="285"/>
      <c r="J4" s="286"/>
      <c r="K4" s="284" t="s">
        <v>6</v>
      </c>
      <c r="L4" s="285"/>
      <c r="M4" s="285"/>
      <c r="N4" s="286"/>
      <c r="O4" s="284" t="s">
        <v>7</v>
      </c>
      <c r="P4" s="285"/>
      <c r="Q4" s="285"/>
      <c r="R4" s="286"/>
      <c r="S4" s="284" t="s">
        <v>15</v>
      </c>
      <c r="T4" s="285"/>
      <c r="U4" s="285"/>
      <c r="V4" s="286"/>
      <c r="W4" s="284" t="s">
        <v>16</v>
      </c>
      <c r="X4" s="285"/>
      <c r="Y4" s="285"/>
      <c r="Z4" s="286"/>
      <c r="AA4" s="281" t="s">
        <v>103</v>
      </c>
    </row>
    <row r="5" spans="1:27" ht="51" x14ac:dyDescent="0.25">
      <c r="A5" s="325"/>
      <c r="B5" s="329"/>
      <c r="C5" s="330"/>
      <c r="D5" s="331"/>
      <c r="E5" s="291"/>
      <c r="F5" s="277"/>
      <c r="G5" s="47" t="s">
        <v>12</v>
      </c>
      <c r="H5" s="47" t="s">
        <v>13</v>
      </c>
      <c r="I5" s="47" t="s">
        <v>14</v>
      </c>
      <c r="J5" s="47" t="s">
        <v>25</v>
      </c>
      <c r="K5" s="47" t="s">
        <v>12</v>
      </c>
      <c r="L5" s="47" t="s">
        <v>13</v>
      </c>
      <c r="M5" s="47" t="s">
        <v>14</v>
      </c>
      <c r="N5" s="47" t="s">
        <v>25</v>
      </c>
      <c r="O5" s="47" t="s">
        <v>12</v>
      </c>
      <c r="P5" s="47" t="s">
        <v>13</v>
      </c>
      <c r="Q5" s="47" t="s">
        <v>3</v>
      </c>
      <c r="R5" s="47" t="s">
        <v>25</v>
      </c>
      <c r="S5" s="47" t="s">
        <v>12</v>
      </c>
      <c r="T5" s="47" t="s">
        <v>13</v>
      </c>
      <c r="U5" s="47" t="s">
        <v>23</v>
      </c>
      <c r="V5" s="48" t="s">
        <v>25</v>
      </c>
      <c r="W5" s="47" t="s">
        <v>12</v>
      </c>
      <c r="X5" s="47" t="s">
        <v>13</v>
      </c>
      <c r="Y5" s="47" t="s">
        <v>23</v>
      </c>
      <c r="Z5" s="48" t="s">
        <v>25</v>
      </c>
      <c r="AA5" s="281"/>
    </row>
    <row r="6" spans="1:27" x14ac:dyDescent="0.25">
      <c r="A6" s="49" t="s">
        <v>8</v>
      </c>
      <c r="B6" s="287" t="s">
        <v>72</v>
      </c>
      <c r="C6" s="288"/>
      <c r="D6" s="289"/>
      <c r="E6" s="50" t="s">
        <v>73</v>
      </c>
      <c r="F6" s="51">
        <v>2600</v>
      </c>
      <c r="G6" s="51">
        <v>797</v>
      </c>
      <c r="H6" s="51">
        <f>F6*G6</f>
        <v>2072200</v>
      </c>
      <c r="I6" s="51">
        <v>10</v>
      </c>
      <c r="J6" s="51">
        <f>H6+20722</f>
        <v>2092922</v>
      </c>
      <c r="K6" s="51">
        <v>296</v>
      </c>
      <c r="L6" s="51">
        <f>K6*F6</f>
        <v>769600</v>
      </c>
      <c r="M6" s="51">
        <v>20</v>
      </c>
      <c r="N6" s="51">
        <f>L6+153920</f>
        <v>923520</v>
      </c>
      <c r="O6" s="51">
        <v>276</v>
      </c>
      <c r="P6" s="51">
        <f>F6*O6</f>
        <v>717600</v>
      </c>
      <c r="Q6" s="51">
        <v>35</v>
      </c>
      <c r="R6" s="51">
        <f>P6+251160</f>
        <v>968760</v>
      </c>
      <c r="S6" s="51">
        <v>53</v>
      </c>
      <c r="T6" s="51">
        <f>F6*S6</f>
        <v>137800</v>
      </c>
      <c r="U6" s="51">
        <v>195</v>
      </c>
      <c r="V6" s="52">
        <v>271391</v>
      </c>
      <c r="W6" s="51">
        <v>119</v>
      </c>
      <c r="X6" s="51">
        <f>F6*W6</f>
        <v>309400</v>
      </c>
      <c r="Y6" s="51">
        <v>50</v>
      </c>
      <c r="Z6" s="53">
        <v>464237</v>
      </c>
      <c r="AA6" s="51">
        <f>J6+N6+R6+V6+Z6</f>
        <v>4720830</v>
      </c>
    </row>
    <row r="7" spans="1:27" x14ac:dyDescent="0.25">
      <c r="A7" s="49" t="s">
        <v>17</v>
      </c>
      <c r="B7" s="278" t="s">
        <v>79</v>
      </c>
      <c r="C7" s="279"/>
      <c r="D7" s="280"/>
      <c r="E7" s="50" t="s">
        <v>73</v>
      </c>
      <c r="F7" s="51">
        <v>230</v>
      </c>
      <c r="G7" s="51"/>
      <c r="H7" s="51">
        <v>182962</v>
      </c>
      <c r="I7" s="51"/>
      <c r="J7" s="51">
        <v>182962</v>
      </c>
      <c r="K7" s="51"/>
      <c r="L7" s="51">
        <v>68080</v>
      </c>
      <c r="M7" s="51">
        <v>50</v>
      </c>
      <c r="N7" s="51">
        <v>102518</v>
      </c>
      <c r="O7" s="51"/>
      <c r="P7" s="51">
        <v>63480</v>
      </c>
      <c r="Q7" s="51">
        <v>325</v>
      </c>
      <c r="R7" s="51">
        <v>207036</v>
      </c>
      <c r="S7" s="51"/>
      <c r="T7" s="51">
        <v>27370</v>
      </c>
      <c r="U7" s="51">
        <v>415</v>
      </c>
      <c r="V7" s="51">
        <v>113518</v>
      </c>
      <c r="W7" s="54"/>
      <c r="X7" s="51">
        <v>12190</v>
      </c>
      <c r="Y7" s="51"/>
      <c r="Z7" s="55">
        <v>90444</v>
      </c>
      <c r="AA7" s="51">
        <f>H7+N7+R7+V7+Z7</f>
        <v>696478</v>
      </c>
    </row>
    <row r="8" spans="1:27" x14ac:dyDescent="0.25">
      <c r="A8" s="49" t="s">
        <v>20</v>
      </c>
      <c r="B8" s="314" t="s">
        <v>80</v>
      </c>
      <c r="C8" s="315"/>
      <c r="D8" s="316"/>
      <c r="E8" s="50" t="s">
        <v>73</v>
      </c>
      <c r="F8" s="51">
        <v>1150</v>
      </c>
      <c r="G8" s="51">
        <v>813</v>
      </c>
      <c r="H8" s="51">
        <f>F8*G8</f>
        <v>934950</v>
      </c>
      <c r="I8" s="51">
        <v>-46</v>
      </c>
      <c r="J8" s="51">
        <v>500000</v>
      </c>
      <c r="K8" s="51">
        <v>300</v>
      </c>
      <c r="L8" s="51">
        <f>F8*K8</f>
        <v>345000</v>
      </c>
      <c r="M8" s="51">
        <v>-26</v>
      </c>
      <c r="N8" s="51">
        <v>250000</v>
      </c>
      <c r="O8" s="51">
        <v>276</v>
      </c>
      <c r="P8" s="51">
        <f>F8*O8</f>
        <v>317400</v>
      </c>
      <c r="Q8" s="51">
        <v>13</v>
      </c>
      <c r="R8" s="51">
        <v>360000</v>
      </c>
      <c r="S8" s="51">
        <v>59</v>
      </c>
      <c r="T8" s="51">
        <f>F8*S8</f>
        <v>67850</v>
      </c>
      <c r="U8" s="51">
        <v>45</v>
      </c>
      <c r="V8" s="51">
        <v>100000</v>
      </c>
      <c r="W8" s="51">
        <v>132</v>
      </c>
      <c r="X8" s="51">
        <f>W8*F8</f>
        <v>151800</v>
      </c>
      <c r="Y8" s="51">
        <v>165</v>
      </c>
      <c r="Z8" s="55">
        <v>400000</v>
      </c>
      <c r="AA8" s="51">
        <f>J8+N8+R8+V8+Z8</f>
        <v>1610000</v>
      </c>
    </row>
    <row r="9" spans="1:27" x14ac:dyDescent="0.25">
      <c r="A9" s="49" t="s">
        <v>27</v>
      </c>
      <c r="B9" s="314" t="s">
        <v>81</v>
      </c>
      <c r="C9" s="315"/>
      <c r="D9" s="316"/>
      <c r="E9" s="50" t="s">
        <v>73</v>
      </c>
      <c r="F9" s="51">
        <v>2300</v>
      </c>
      <c r="G9" s="51"/>
      <c r="H9" s="51">
        <f>F9*G8</f>
        <v>1869900</v>
      </c>
      <c r="I9" s="51">
        <v>25</v>
      </c>
      <c r="J9" s="51">
        <v>2359100</v>
      </c>
      <c r="K9" s="51"/>
      <c r="L9" s="51">
        <f>F9*K8</f>
        <v>690000</v>
      </c>
      <c r="M9" s="51">
        <v>-49</v>
      </c>
      <c r="N9" s="51">
        <v>350000</v>
      </c>
      <c r="O9" s="51"/>
      <c r="P9" s="51">
        <f>O8*F9</f>
        <v>634800</v>
      </c>
      <c r="Q9" s="51">
        <v>-54</v>
      </c>
      <c r="R9" s="51">
        <v>290000</v>
      </c>
      <c r="S9" s="51"/>
      <c r="T9" s="51">
        <f>F9*S8</f>
        <v>135700</v>
      </c>
      <c r="U9" s="51">
        <v>-40</v>
      </c>
      <c r="V9" s="51">
        <v>80000</v>
      </c>
      <c r="W9" s="51"/>
      <c r="X9" s="51">
        <f>W8*F9</f>
        <v>303600</v>
      </c>
      <c r="Y9" s="51">
        <v>-17</v>
      </c>
      <c r="Z9" s="55">
        <v>250000</v>
      </c>
      <c r="AA9" s="51">
        <f>J9+N9+R9+V9+Z9</f>
        <v>3329100</v>
      </c>
    </row>
    <row r="10" spans="1:27" x14ac:dyDescent="0.25">
      <c r="A10" s="49" t="s">
        <v>83</v>
      </c>
      <c r="B10" s="314" t="s">
        <v>84</v>
      </c>
      <c r="C10" s="315"/>
      <c r="D10" s="316"/>
      <c r="E10" s="50" t="s">
        <v>73</v>
      </c>
      <c r="F10" s="51">
        <v>2100</v>
      </c>
      <c r="G10" s="51"/>
      <c r="H10" s="51">
        <f>F10*G8</f>
        <v>1707300</v>
      </c>
      <c r="I10" s="51">
        <v>-11</v>
      </c>
      <c r="J10" s="51">
        <v>1519497</v>
      </c>
      <c r="K10" s="51"/>
      <c r="L10" s="51">
        <f>F10*K8</f>
        <v>630000</v>
      </c>
      <c r="M10" s="51">
        <v>43</v>
      </c>
      <c r="N10" s="51">
        <v>900900</v>
      </c>
      <c r="O10" s="51"/>
      <c r="P10" s="51">
        <f>F10*O8</f>
        <v>579600</v>
      </c>
      <c r="Q10" s="51">
        <v>73</v>
      </c>
      <c r="R10" s="51">
        <v>1002708</v>
      </c>
      <c r="S10" s="51"/>
      <c r="T10" s="51">
        <f>F10*S8</f>
        <v>123900</v>
      </c>
      <c r="U10" s="51">
        <v>272</v>
      </c>
      <c r="V10" s="51">
        <f>460908-52693+384</f>
        <v>408599</v>
      </c>
      <c r="W10" s="51"/>
      <c r="X10" s="51">
        <f>F10*W8</f>
        <v>277200</v>
      </c>
      <c r="Y10" s="51">
        <v>78</v>
      </c>
      <c r="Z10" s="55">
        <v>410256</v>
      </c>
      <c r="AA10" s="51">
        <f>J10+N10+R10+V10+Z10</f>
        <v>4241960</v>
      </c>
    </row>
    <row r="11" spans="1:27" x14ac:dyDescent="0.25">
      <c r="A11" s="56" t="s">
        <v>85</v>
      </c>
      <c r="B11" s="314" t="s">
        <v>86</v>
      </c>
      <c r="C11" s="315"/>
      <c r="D11" s="316"/>
      <c r="E11" s="50" t="s">
        <v>73</v>
      </c>
      <c r="F11" s="51">
        <v>120</v>
      </c>
      <c r="G11" s="51"/>
      <c r="H11" s="51">
        <f>F11*G8+2440</f>
        <v>100000</v>
      </c>
      <c r="I11" s="51"/>
      <c r="J11" s="51">
        <f>H11</f>
        <v>100000</v>
      </c>
      <c r="K11" s="51"/>
      <c r="L11" s="51"/>
      <c r="M11" s="51"/>
      <c r="N11" s="51">
        <v>36000</v>
      </c>
      <c r="O11" s="51"/>
      <c r="P11" s="51"/>
      <c r="Q11" s="51"/>
      <c r="R11" s="51">
        <v>33120</v>
      </c>
      <c r="S11" s="51"/>
      <c r="T11" s="51"/>
      <c r="U11" s="51"/>
      <c r="V11" s="51">
        <v>14880</v>
      </c>
      <c r="W11" s="51"/>
      <c r="X11" s="51"/>
      <c r="Y11" s="51"/>
      <c r="Z11" s="55">
        <v>16000</v>
      </c>
      <c r="AA11" s="51">
        <f t="shared" ref="AA11:AA18" si="0">J11+N11+R11+V11+Z11</f>
        <v>200000</v>
      </c>
    </row>
    <row r="12" spans="1:27" x14ac:dyDescent="0.25">
      <c r="A12" s="57" t="s">
        <v>87</v>
      </c>
      <c r="B12" s="321" t="s">
        <v>88</v>
      </c>
      <c r="C12" s="322"/>
      <c r="D12" s="323"/>
      <c r="E12" s="58" t="s">
        <v>73</v>
      </c>
      <c r="F12" s="59">
        <v>1800</v>
      </c>
      <c r="G12" s="59"/>
      <c r="H12" s="59">
        <f>F12*G8</f>
        <v>1463400</v>
      </c>
      <c r="I12" s="59"/>
      <c r="J12" s="59">
        <f>H12</f>
        <v>1463400</v>
      </c>
      <c r="K12" s="59"/>
      <c r="L12" s="59">
        <f>K8*F12</f>
        <v>540000</v>
      </c>
      <c r="M12" s="59"/>
      <c r="N12" s="59">
        <f>L12</f>
        <v>540000</v>
      </c>
      <c r="O12" s="59"/>
      <c r="P12" s="59">
        <f>F12*O8</f>
        <v>496800</v>
      </c>
      <c r="Q12" s="59"/>
      <c r="R12" s="59">
        <f>P12</f>
        <v>496800</v>
      </c>
      <c r="S12" s="59"/>
      <c r="T12" s="59"/>
      <c r="U12" s="59"/>
      <c r="V12" s="59">
        <v>200000</v>
      </c>
      <c r="W12" s="59"/>
      <c r="X12" s="59">
        <f>W8*F12</f>
        <v>237600</v>
      </c>
      <c r="Y12" s="59"/>
      <c r="Z12" s="60">
        <v>299800</v>
      </c>
      <c r="AA12" s="51">
        <f t="shared" si="0"/>
        <v>3000000</v>
      </c>
    </row>
    <row r="13" spans="1:27" x14ac:dyDescent="0.25">
      <c r="A13" s="56" t="s">
        <v>89</v>
      </c>
      <c r="B13" s="295" t="s">
        <v>95</v>
      </c>
      <c r="C13" s="295"/>
      <c r="D13" s="295"/>
      <c r="E13" s="58" t="s">
        <v>73</v>
      </c>
      <c r="F13" s="51">
        <v>100</v>
      </c>
      <c r="G13" s="51"/>
      <c r="H13" s="51">
        <f>F13*G8</f>
        <v>81300</v>
      </c>
      <c r="I13" s="51"/>
      <c r="J13" s="51">
        <f>H13</f>
        <v>81300</v>
      </c>
      <c r="K13" s="51"/>
      <c r="L13" s="51">
        <f>F13*K8</f>
        <v>30000</v>
      </c>
      <c r="M13" s="51"/>
      <c r="N13" s="51">
        <f>L13</f>
        <v>30000</v>
      </c>
      <c r="O13" s="51"/>
      <c r="P13" s="51">
        <f>F13*O8</f>
        <v>27600</v>
      </c>
      <c r="Q13" s="51"/>
      <c r="R13" s="51">
        <f>P13</f>
        <v>27600</v>
      </c>
      <c r="S13" s="51"/>
      <c r="T13" s="51">
        <f>S8*F13</f>
        <v>5900</v>
      </c>
      <c r="U13" s="51"/>
      <c r="V13" s="51">
        <f>T13</f>
        <v>5900</v>
      </c>
      <c r="W13" s="51"/>
      <c r="X13" s="51">
        <v>12900</v>
      </c>
      <c r="Y13" s="51"/>
      <c r="Z13" s="55">
        <v>12900</v>
      </c>
      <c r="AA13" s="51">
        <f t="shared" si="0"/>
        <v>157700</v>
      </c>
    </row>
    <row r="14" spans="1:27" x14ac:dyDescent="0.25">
      <c r="A14" s="49" t="s">
        <v>91</v>
      </c>
      <c r="B14" s="287" t="s">
        <v>96</v>
      </c>
      <c r="C14" s="288"/>
      <c r="D14" s="289"/>
      <c r="E14" s="58" t="s">
        <v>73</v>
      </c>
      <c r="F14" s="51"/>
      <c r="G14" s="51"/>
      <c r="H14" s="51"/>
      <c r="I14" s="51"/>
      <c r="J14" s="51">
        <v>227700</v>
      </c>
      <c r="K14" s="51"/>
      <c r="L14" s="51"/>
      <c r="M14" s="51"/>
      <c r="N14" s="51">
        <f>61444+18556</f>
        <v>80000</v>
      </c>
      <c r="O14" s="51"/>
      <c r="P14" s="51"/>
      <c r="Q14" s="51"/>
      <c r="R14" s="51">
        <f>1997+603</f>
        <v>2600</v>
      </c>
      <c r="S14" s="51"/>
      <c r="T14" s="51"/>
      <c r="U14" s="51"/>
      <c r="V14" s="51">
        <f>21352+6448</f>
        <v>27800</v>
      </c>
      <c r="W14" s="51"/>
      <c r="X14" s="51"/>
      <c r="Y14" s="51"/>
      <c r="Z14" s="55">
        <f>29877+9023</f>
        <v>38900</v>
      </c>
      <c r="AA14" s="51">
        <f t="shared" si="0"/>
        <v>377000</v>
      </c>
    </row>
    <row r="15" spans="1:27" s="32" customFormat="1" ht="30" customHeight="1" x14ac:dyDescent="0.25">
      <c r="A15" s="49" t="s">
        <v>93</v>
      </c>
      <c r="B15" s="317" t="s">
        <v>97</v>
      </c>
      <c r="C15" s="318"/>
      <c r="D15" s="319"/>
      <c r="E15" s="58" t="s">
        <v>73</v>
      </c>
      <c r="F15" s="61"/>
      <c r="G15" s="61"/>
      <c r="H15" s="61"/>
      <c r="I15" s="61"/>
      <c r="J15" s="49">
        <v>1479600</v>
      </c>
      <c r="K15" s="61"/>
      <c r="L15" s="61"/>
      <c r="M15" s="61"/>
      <c r="N15" s="49">
        <v>723600</v>
      </c>
      <c r="O15" s="61"/>
      <c r="P15" s="61"/>
      <c r="Q15" s="61"/>
      <c r="R15" s="49">
        <v>460800</v>
      </c>
      <c r="S15" s="61"/>
      <c r="T15" s="61"/>
      <c r="U15" s="61"/>
      <c r="V15" s="49">
        <v>72000</v>
      </c>
      <c r="W15" s="61"/>
      <c r="X15" s="61"/>
      <c r="Y15" s="61"/>
      <c r="Z15" s="62">
        <v>216000</v>
      </c>
      <c r="AA15" s="51">
        <f t="shared" si="0"/>
        <v>2952000</v>
      </c>
    </row>
    <row r="16" spans="1:27" ht="27" customHeight="1" x14ac:dyDescent="0.25">
      <c r="A16" s="63" t="s">
        <v>99</v>
      </c>
      <c r="B16" s="340" t="s">
        <v>98</v>
      </c>
      <c r="C16" s="341"/>
      <c r="D16" s="342"/>
      <c r="E16" s="58" t="s">
        <v>73</v>
      </c>
      <c r="F16" s="64"/>
      <c r="G16" s="59"/>
      <c r="H16" s="59"/>
      <c r="I16" s="59"/>
      <c r="J16" s="59">
        <v>638222</v>
      </c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>
        <v>93283</v>
      </c>
      <c r="W16" s="59"/>
      <c r="X16" s="59"/>
      <c r="Y16" s="59"/>
      <c r="Z16" s="60">
        <v>240293</v>
      </c>
      <c r="AA16" s="51">
        <f t="shared" si="0"/>
        <v>971798</v>
      </c>
    </row>
    <row r="17" spans="1:27" x14ac:dyDescent="0.25">
      <c r="A17" s="49" t="s">
        <v>100</v>
      </c>
      <c r="B17" s="287" t="s">
        <v>90</v>
      </c>
      <c r="C17" s="288"/>
      <c r="D17" s="289"/>
      <c r="E17" s="58" t="s">
        <v>73</v>
      </c>
      <c r="F17" s="61"/>
      <c r="G17" s="51"/>
      <c r="H17" s="51"/>
      <c r="I17" s="51"/>
      <c r="J17" s="51">
        <v>717000</v>
      </c>
      <c r="K17" s="51"/>
      <c r="L17" s="51"/>
      <c r="M17" s="51"/>
      <c r="N17" s="51">
        <v>29075</v>
      </c>
      <c r="O17" s="51"/>
      <c r="P17" s="51"/>
      <c r="Q17" s="51"/>
      <c r="R17" s="51">
        <v>1325185</v>
      </c>
      <c r="S17" s="51"/>
      <c r="T17" s="51"/>
      <c r="U17" s="51"/>
      <c r="V17" s="51">
        <v>83973</v>
      </c>
      <c r="W17" s="51"/>
      <c r="X17" s="51"/>
      <c r="Y17" s="51"/>
      <c r="Z17" s="55">
        <v>825701</v>
      </c>
      <c r="AA17" s="51">
        <f t="shared" si="0"/>
        <v>2980934</v>
      </c>
    </row>
    <row r="18" spans="1:27" x14ac:dyDescent="0.25">
      <c r="A18" s="63" t="s">
        <v>101</v>
      </c>
      <c r="B18" s="335" t="s">
        <v>102</v>
      </c>
      <c r="C18" s="335"/>
      <c r="D18" s="335"/>
      <c r="E18" s="58" t="s">
        <v>73</v>
      </c>
      <c r="F18" s="64"/>
      <c r="G18" s="59"/>
      <c r="H18" s="59"/>
      <c r="I18" s="59"/>
      <c r="J18" s="59">
        <v>4671537</v>
      </c>
      <c r="K18" s="59"/>
      <c r="L18" s="59"/>
      <c r="M18" s="59"/>
      <c r="N18" s="59">
        <v>2253611</v>
      </c>
      <c r="O18" s="59"/>
      <c r="P18" s="59"/>
      <c r="Q18" s="59"/>
      <c r="R18" s="59">
        <v>3447865</v>
      </c>
      <c r="S18" s="59"/>
      <c r="T18" s="59"/>
      <c r="U18" s="59"/>
      <c r="V18" s="59">
        <f>876860-52309+52693-384</f>
        <v>876860</v>
      </c>
      <c r="W18" s="59"/>
      <c r="X18" s="59"/>
      <c r="Y18" s="59"/>
      <c r="Z18" s="60">
        <v>1823907</v>
      </c>
      <c r="AA18" s="59">
        <f t="shared" si="0"/>
        <v>13073780</v>
      </c>
    </row>
    <row r="19" spans="1:27" x14ac:dyDescent="0.25">
      <c r="A19" s="336" t="s">
        <v>103</v>
      </c>
      <c r="B19" s="337"/>
      <c r="C19" s="337"/>
      <c r="D19" s="338"/>
      <c r="E19" s="65"/>
      <c r="F19" s="65"/>
      <c r="G19" s="65"/>
      <c r="H19" s="65"/>
      <c r="I19" s="65"/>
      <c r="J19" s="65">
        <f>SUM(J6:J18)</f>
        <v>16033240</v>
      </c>
      <c r="K19" s="65"/>
      <c r="L19" s="65"/>
      <c r="M19" s="65"/>
      <c r="N19" s="65">
        <f>SUM(N6:N18)</f>
        <v>6219224</v>
      </c>
      <c r="O19" s="65"/>
      <c r="P19" s="65"/>
      <c r="Q19" s="65"/>
      <c r="R19" s="65">
        <f>SUM(R6:R18)</f>
        <v>8622474</v>
      </c>
      <c r="S19" s="65"/>
      <c r="T19" s="65"/>
      <c r="U19" s="65"/>
      <c r="V19" s="65">
        <f>SUM(V6:V18)</f>
        <v>2348204</v>
      </c>
      <c r="W19" s="65"/>
      <c r="X19" s="65"/>
      <c r="Y19" s="65"/>
      <c r="Z19" s="65">
        <f>SUM(Z6:Z18)</f>
        <v>5088438</v>
      </c>
      <c r="AA19" s="65">
        <f>J19+N19+R19+V19+Z19</f>
        <v>38311580</v>
      </c>
    </row>
    <row r="20" spans="1:27" x14ac:dyDescent="0.25">
      <c r="A20" s="54"/>
      <c r="B20" s="54" t="s">
        <v>113</v>
      </c>
      <c r="C20" s="54"/>
      <c r="D20" s="54"/>
      <c r="E20" s="54"/>
      <c r="F20" s="54"/>
      <c r="G20" s="54"/>
      <c r="H20" s="54"/>
      <c r="I20" s="54"/>
      <c r="J20" s="54">
        <f>J19/813</f>
        <v>19721.082410824107</v>
      </c>
      <c r="K20" s="54"/>
      <c r="L20" s="54"/>
      <c r="M20" s="54"/>
      <c r="N20" s="54">
        <f>N19/300</f>
        <v>20730.746666666666</v>
      </c>
      <c r="O20" s="54"/>
      <c r="P20" s="54"/>
      <c r="Q20" s="54"/>
      <c r="R20" s="54">
        <f>R19/O6</f>
        <v>31240.847826086956</v>
      </c>
      <c r="S20" s="54"/>
      <c r="T20" s="54"/>
      <c r="U20" s="54"/>
      <c r="V20" s="54">
        <f>V19/S8</f>
        <v>39800.067796610172</v>
      </c>
      <c r="W20" s="54"/>
      <c r="X20" s="54"/>
      <c r="Y20" s="54"/>
      <c r="Z20" s="54">
        <f>Z19/W8</f>
        <v>38548.772727272728</v>
      </c>
      <c r="AA20" s="66">
        <f>J20+N20+R20+V20+Z20</f>
        <v>150041.51742746064</v>
      </c>
    </row>
    <row r="23" spans="1:27" ht="30" x14ac:dyDescent="0.25">
      <c r="A23" s="305" t="s">
        <v>190</v>
      </c>
      <c r="B23" s="306"/>
      <c r="C23" s="306"/>
      <c r="D23" s="306"/>
      <c r="E23" s="306"/>
      <c r="F23" s="306"/>
      <c r="G23" s="306"/>
      <c r="H23" s="306"/>
      <c r="I23" s="307"/>
      <c r="J23" s="45" t="s">
        <v>185</v>
      </c>
      <c r="K23" s="45" t="s">
        <v>186</v>
      </c>
      <c r="L23" s="44" t="s">
        <v>187</v>
      </c>
      <c r="M23" s="45" t="s">
        <v>188</v>
      </c>
      <c r="N23" s="45" t="s">
        <v>189</v>
      </c>
      <c r="O23" s="45" t="s">
        <v>183</v>
      </c>
    </row>
    <row r="24" spans="1:27" x14ac:dyDescent="0.25">
      <c r="A24" s="305" t="s">
        <v>170</v>
      </c>
      <c r="B24" s="306"/>
      <c r="C24" s="306"/>
      <c r="D24" s="306"/>
      <c r="E24" s="306"/>
      <c r="F24" s="306"/>
      <c r="G24" s="306"/>
      <c r="H24" s="306"/>
      <c r="I24" s="307"/>
      <c r="J24" s="3"/>
      <c r="K24" s="3"/>
      <c r="L24" s="3"/>
      <c r="M24" s="3"/>
      <c r="N24" s="3"/>
      <c r="O24" s="3"/>
    </row>
    <row r="25" spans="1:27" ht="30" customHeight="1" x14ac:dyDescent="0.25">
      <c r="A25" s="308" t="s">
        <v>178</v>
      </c>
      <c r="B25" s="309"/>
      <c r="C25" s="309"/>
      <c r="D25" s="309"/>
      <c r="E25" s="309"/>
      <c r="F25" s="309"/>
      <c r="G25" s="309"/>
      <c r="H25" s="309"/>
      <c r="I25" s="310"/>
      <c r="J25" s="3"/>
      <c r="K25" s="3"/>
      <c r="L25" s="3"/>
      <c r="M25" s="3"/>
      <c r="N25" s="3"/>
      <c r="O25" s="3"/>
    </row>
    <row r="26" spans="1:27" ht="17.25" customHeight="1" x14ac:dyDescent="0.25">
      <c r="A26" s="296" t="s">
        <v>176</v>
      </c>
      <c r="B26" s="297"/>
      <c r="C26" s="297"/>
      <c r="D26" s="297"/>
      <c r="E26" s="297"/>
      <c r="F26" s="297"/>
      <c r="G26" s="297"/>
      <c r="H26" s="297"/>
      <c r="I26" s="298"/>
      <c r="J26" s="43">
        <f>100000+1463400+1479600+638222</f>
        <v>3681222</v>
      </c>
      <c r="K26" s="43">
        <f>36000+540000+723600</f>
        <v>1299600</v>
      </c>
      <c r="L26" s="43">
        <f>33120+496800+460800</f>
        <v>990720</v>
      </c>
      <c r="M26" s="43">
        <f>14880+200000+72000+93283</f>
        <v>380163</v>
      </c>
      <c r="N26" s="43">
        <f>16000+299800+216000+240293</f>
        <v>772093</v>
      </c>
      <c r="O26" s="43">
        <f>SUM(J26:N26)</f>
        <v>7123798</v>
      </c>
    </row>
    <row r="27" spans="1:27" x14ac:dyDescent="0.25">
      <c r="A27" s="296" t="s">
        <v>175</v>
      </c>
      <c r="B27" s="297"/>
      <c r="C27" s="297"/>
      <c r="D27" s="297"/>
      <c r="E27" s="297"/>
      <c r="F27" s="297"/>
      <c r="G27" s="297"/>
      <c r="H27" s="297"/>
      <c r="I27" s="298"/>
      <c r="J27" s="43">
        <f>2092922+182962+81300+227700</f>
        <v>2584884</v>
      </c>
      <c r="K27" s="43">
        <f>923520+102518+30000+80000</f>
        <v>1136038</v>
      </c>
      <c r="L27" s="43">
        <f>968760+207036+27600+2600</f>
        <v>1205996</v>
      </c>
      <c r="M27" s="43">
        <f>271391+113518+5900+27800</f>
        <v>418609</v>
      </c>
      <c r="N27" s="43">
        <f>464237+90444+12900+38900</f>
        <v>606481</v>
      </c>
      <c r="O27" s="43">
        <f>SUM(J27:N27)</f>
        <v>5952008</v>
      </c>
    </row>
    <row r="28" spans="1:27" x14ac:dyDescent="0.25">
      <c r="A28" s="311" t="s">
        <v>177</v>
      </c>
      <c r="B28" s="312"/>
      <c r="C28" s="312"/>
      <c r="D28" s="312"/>
      <c r="E28" s="312"/>
      <c r="F28" s="312"/>
      <c r="G28" s="312"/>
      <c r="H28" s="312"/>
      <c r="I28" s="313"/>
      <c r="J28" s="43"/>
      <c r="K28" s="43"/>
      <c r="L28" s="43"/>
      <c r="M28" s="43"/>
      <c r="N28" s="43"/>
      <c r="O28" s="3"/>
    </row>
    <row r="29" spans="1:27" ht="48" customHeight="1" x14ac:dyDescent="0.25">
      <c r="A29" s="308" t="s">
        <v>179</v>
      </c>
      <c r="B29" s="309"/>
      <c r="C29" s="309"/>
      <c r="D29" s="309"/>
      <c r="E29" s="309"/>
      <c r="F29" s="309"/>
      <c r="G29" s="309"/>
      <c r="H29" s="309"/>
      <c r="I29" s="310"/>
      <c r="J29" s="43"/>
      <c r="K29" s="43"/>
      <c r="L29" s="43"/>
      <c r="M29" s="43"/>
      <c r="N29" s="43"/>
      <c r="O29" s="3"/>
    </row>
    <row r="30" spans="1:27" x14ac:dyDescent="0.25">
      <c r="A30" s="296" t="s">
        <v>171</v>
      </c>
      <c r="B30" s="297"/>
      <c r="C30" s="297"/>
      <c r="D30" s="297"/>
      <c r="E30" s="297"/>
      <c r="F30" s="297"/>
      <c r="G30" s="297"/>
      <c r="H30" s="297"/>
      <c r="I30" s="298"/>
      <c r="J30" s="43"/>
      <c r="K30" s="43"/>
      <c r="L30" s="43"/>
      <c r="M30" s="43"/>
      <c r="N30" s="43"/>
      <c r="O30" s="3"/>
    </row>
    <row r="31" spans="1:27" x14ac:dyDescent="0.25">
      <c r="A31" s="36" t="s">
        <v>172</v>
      </c>
      <c r="B31" s="37"/>
      <c r="C31" s="37"/>
      <c r="D31" s="37"/>
      <c r="E31" s="37"/>
      <c r="F31" s="37"/>
      <c r="G31" s="37"/>
      <c r="H31" s="37"/>
      <c r="I31" s="38"/>
      <c r="J31" s="43">
        <v>567236</v>
      </c>
      <c r="K31" s="43">
        <f>480788*90%</f>
        <v>432709.2</v>
      </c>
      <c r="L31" s="43">
        <f>1390876*90%</f>
        <v>1251788.4000000001</v>
      </c>
      <c r="M31" s="43">
        <f>267247*90%</f>
        <v>240522.30000000002</v>
      </c>
      <c r="N31" s="43">
        <f>371695*90%</f>
        <v>334525.5</v>
      </c>
      <c r="O31" s="43">
        <f>SUM(J31:N31)</f>
        <v>2826781.4</v>
      </c>
    </row>
    <row r="32" spans="1:27" x14ac:dyDescent="0.25">
      <c r="A32" s="296" t="s">
        <v>173</v>
      </c>
      <c r="B32" s="297"/>
      <c r="C32" s="297"/>
      <c r="D32" s="297"/>
      <c r="E32" s="297"/>
      <c r="F32" s="297"/>
      <c r="G32" s="297"/>
      <c r="H32" s="297"/>
      <c r="I32" s="298"/>
      <c r="J32" s="43">
        <v>1764617</v>
      </c>
      <c r="K32" s="43">
        <f>1555720*50%</f>
        <v>777860</v>
      </c>
      <c r="L32" s="43">
        <f>1375975*50%</f>
        <v>687987.5</v>
      </c>
      <c r="M32" s="43">
        <f>579808*50%</f>
        <v>289904</v>
      </c>
      <c r="N32" s="43">
        <f>1177759*50%</f>
        <v>588879.5</v>
      </c>
      <c r="O32" s="43">
        <f t="shared" ref="O32:O33" si="1">SUM(J32:N32)</f>
        <v>4109248</v>
      </c>
    </row>
    <row r="33" spans="1:28" x14ac:dyDescent="0.25">
      <c r="A33" s="296" t="s">
        <v>174</v>
      </c>
      <c r="B33" s="297"/>
      <c r="C33" s="297"/>
      <c r="D33" s="297"/>
      <c r="E33" s="297"/>
      <c r="F33" s="297"/>
      <c r="G33" s="297"/>
      <c r="H33" s="297"/>
      <c r="I33" s="298"/>
      <c r="J33" s="43">
        <f>202917+309124</f>
        <v>512041</v>
      </c>
      <c r="K33" s="43">
        <f>86035+131068</f>
        <v>217103</v>
      </c>
      <c r="L33" s="43">
        <f>269878+411136</f>
        <v>681014</v>
      </c>
      <c r="M33" s="43">
        <f>29805</f>
        <v>29805</v>
      </c>
      <c r="N33" s="43">
        <f>108763+165690</f>
        <v>274453</v>
      </c>
      <c r="O33" s="43">
        <f t="shared" si="1"/>
        <v>1714416</v>
      </c>
    </row>
    <row r="34" spans="1:28" x14ac:dyDescent="0.25">
      <c r="A34" s="296" t="s">
        <v>180</v>
      </c>
      <c r="B34" s="297"/>
      <c r="C34" s="297"/>
      <c r="D34" s="297"/>
      <c r="E34" s="297"/>
      <c r="F34" s="297"/>
      <c r="G34" s="297"/>
      <c r="H34" s="297"/>
      <c r="I34" s="298"/>
      <c r="J34" s="43"/>
      <c r="K34" s="43"/>
      <c r="L34" s="43"/>
      <c r="M34" s="43"/>
      <c r="N34" s="43"/>
      <c r="O34" s="3"/>
    </row>
    <row r="35" spans="1:28" ht="15.75" customHeight="1" x14ac:dyDescent="0.25">
      <c r="A35" s="296" t="s">
        <v>181</v>
      </c>
      <c r="B35" s="297"/>
      <c r="C35" s="297"/>
      <c r="D35" s="297"/>
      <c r="E35" s="297"/>
      <c r="F35" s="297"/>
      <c r="G35" s="297"/>
      <c r="H35" s="297"/>
      <c r="I35" s="298"/>
      <c r="J35" s="43"/>
      <c r="K35" s="43"/>
      <c r="L35" s="43"/>
      <c r="M35" s="43"/>
      <c r="N35" s="43"/>
      <c r="O35" s="3"/>
    </row>
    <row r="36" spans="1:28" ht="15" customHeight="1" x14ac:dyDescent="0.25">
      <c r="A36" s="299" t="s">
        <v>182</v>
      </c>
      <c r="B36" s="300"/>
      <c r="C36" s="300"/>
      <c r="D36" s="300"/>
      <c r="E36" s="300"/>
      <c r="F36" s="300"/>
      <c r="G36" s="300"/>
      <c r="H36" s="300"/>
      <c r="I36" s="301"/>
      <c r="J36" s="43"/>
      <c r="K36" s="43"/>
      <c r="L36" s="43"/>
      <c r="M36" s="43"/>
      <c r="N36" s="43"/>
      <c r="O36" s="3"/>
    </row>
    <row r="37" spans="1:28" x14ac:dyDescent="0.25">
      <c r="A37" s="302"/>
      <c r="B37" s="303"/>
      <c r="C37" s="303"/>
      <c r="D37" s="303"/>
      <c r="E37" s="303"/>
      <c r="F37" s="303"/>
      <c r="G37" s="303"/>
      <c r="H37" s="303"/>
      <c r="I37" s="304"/>
      <c r="J37" s="43">
        <f>500000+2359100+717000+1827643</f>
        <v>5403743</v>
      </c>
      <c r="K37" s="43">
        <f>1555720*50%+480788*10%+250000+350000</f>
        <v>1425938.8</v>
      </c>
      <c r="L37" s="43">
        <f>360000+290000+1325185+1375975*50%+1390876*10%</f>
        <v>2802260.1</v>
      </c>
      <c r="M37" s="43">
        <f>100000+80000+83973+289904+26724.7</f>
        <v>580601.69999999995</v>
      </c>
      <c r="N37" s="43">
        <f>400000+250000+825701+1177759*50%+371695*10%</f>
        <v>2101750</v>
      </c>
      <c r="O37" s="43">
        <f>SUM(J37:N37)</f>
        <v>12314293.6</v>
      </c>
    </row>
    <row r="38" spans="1:28" x14ac:dyDescent="0.25">
      <c r="A38" s="296" t="s">
        <v>175</v>
      </c>
      <c r="B38" s="297"/>
      <c r="C38" s="297"/>
      <c r="D38" s="297"/>
      <c r="E38" s="297"/>
      <c r="F38" s="297"/>
      <c r="G38" s="297"/>
      <c r="H38" s="297"/>
      <c r="I38" s="298"/>
      <c r="J38" s="43">
        <v>1519497</v>
      </c>
      <c r="K38" s="43">
        <f>900900+29075</f>
        <v>929975</v>
      </c>
      <c r="L38" s="43">
        <f>1002708</f>
        <v>1002708</v>
      </c>
      <c r="M38" s="43">
        <v>408599</v>
      </c>
      <c r="N38" s="43">
        <f>410256</f>
        <v>410256</v>
      </c>
      <c r="O38" s="43">
        <f t="shared" ref="O38:O39" si="2">SUM(J38:N38)</f>
        <v>4271035</v>
      </c>
    </row>
    <row r="39" spans="1:28" x14ac:dyDescent="0.25">
      <c r="A39" s="296" t="s">
        <v>183</v>
      </c>
      <c r="B39" s="297"/>
      <c r="C39" s="297"/>
      <c r="D39" s="297"/>
      <c r="E39" s="297"/>
      <c r="F39" s="297"/>
      <c r="G39" s="297"/>
      <c r="H39" s="297"/>
      <c r="I39" s="298"/>
      <c r="J39" s="43">
        <f>SUM(J26:J38)</f>
        <v>16033240</v>
      </c>
      <c r="K39" s="43">
        <f>SUM(K26:K38)</f>
        <v>6219224</v>
      </c>
      <c r="L39" s="43">
        <f t="shared" ref="L39" si="3">SUM(L26:L38)</f>
        <v>8622474</v>
      </c>
      <c r="M39" s="43">
        <f t="shared" ref="M39" si="4">SUM(M26:M38)</f>
        <v>2348204</v>
      </c>
      <c r="N39" s="43">
        <f t="shared" ref="N39" si="5">SUM(N26:N38)</f>
        <v>5088438</v>
      </c>
      <c r="O39" s="43">
        <f t="shared" si="2"/>
        <v>38311580</v>
      </c>
    </row>
    <row r="40" spans="1:28" x14ac:dyDescent="0.25">
      <c r="A40" s="296" t="s">
        <v>184</v>
      </c>
      <c r="B40" s="297"/>
      <c r="C40" s="297"/>
      <c r="D40" s="297"/>
      <c r="E40" s="297"/>
      <c r="F40" s="297"/>
      <c r="G40" s="297"/>
      <c r="H40" s="297"/>
      <c r="I40" s="298"/>
      <c r="J40" s="43">
        <f>J39/797</f>
        <v>20116.988707653702</v>
      </c>
      <c r="K40" s="43">
        <f>K39/300</f>
        <v>20730.746666666666</v>
      </c>
      <c r="L40" s="43">
        <f>L39/276</f>
        <v>31240.847826086956</v>
      </c>
      <c r="M40" s="43">
        <f>M39/59</f>
        <v>39800.067796610172</v>
      </c>
      <c r="N40" s="43">
        <f>N39/132</f>
        <v>38548.772727272728</v>
      </c>
      <c r="O40" s="3"/>
    </row>
    <row r="41" spans="1:28" x14ac:dyDescent="0.25">
      <c r="A41" s="67"/>
      <c r="B41" s="67"/>
      <c r="C41" s="67"/>
      <c r="D41" s="67"/>
      <c r="E41" s="67"/>
      <c r="F41" s="67"/>
      <c r="G41" s="67"/>
      <c r="H41" s="67"/>
      <c r="I41" s="67"/>
      <c r="J41" s="67" t="s">
        <v>26</v>
      </c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9"/>
    </row>
    <row r="42" spans="1:28" ht="26.25" customHeight="1" x14ac:dyDescent="0.25">
      <c r="A42" s="324" t="s">
        <v>4</v>
      </c>
      <c r="B42" s="326" t="s">
        <v>71</v>
      </c>
      <c r="C42" s="327"/>
      <c r="D42" s="328"/>
      <c r="E42" s="290" t="s">
        <v>2</v>
      </c>
      <c r="F42" s="276" t="s">
        <v>82</v>
      </c>
      <c r="G42" s="284" t="s">
        <v>74</v>
      </c>
      <c r="H42" s="285"/>
      <c r="I42" s="285"/>
      <c r="J42" s="286"/>
      <c r="K42" s="284" t="s">
        <v>75</v>
      </c>
      <c r="L42" s="285"/>
      <c r="M42" s="285"/>
      <c r="N42" s="286"/>
      <c r="O42" s="284" t="s">
        <v>76</v>
      </c>
      <c r="P42" s="285"/>
      <c r="Q42" s="285"/>
      <c r="R42" s="286"/>
      <c r="S42" s="284" t="s">
        <v>77</v>
      </c>
      <c r="T42" s="285"/>
      <c r="U42" s="285"/>
      <c r="V42" s="286"/>
      <c r="W42" s="284" t="s">
        <v>78</v>
      </c>
      <c r="X42" s="285"/>
      <c r="Y42" s="285"/>
      <c r="Z42" s="286"/>
      <c r="AA42" s="281" t="s">
        <v>103</v>
      </c>
      <c r="AB42" s="9"/>
    </row>
    <row r="43" spans="1:28" ht="51" x14ac:dyDescent="0.25">
      <c r="A43" s="325"/>
      <c r="B43" s="329"/>
      <c r="C43" s="330"/>
      <c r="D43" s="331"/>
      <c r="E43" s="291"/>
      <c r="F43" s="277"/>
      <c r="G43" s="47" t="s">
        <v>29</v>
      </c>
      <c r="H43" s="47" t="s">
        <v>13</v>
      </c>
      <c r="I43" s="47" t="s">
        <v>14</v>
      </c>
      <c r="J43" s="47" t="s">
        <v>25</v>
      </c>
      <c r="K43" s="47" t="s">
        <v>12</v>
      </c>
      <c r="L43" s="47" t="s">
        <v>13</v>
      </c>
      <c r="M43" s="47" t="s">
        <v>14</v>
      </c>
      <c r="N43" s="47" t="s">
        <v>25</v>
      </c>
      <c r="O43" s="47" t="s">
        <v>12</v>
      </c>
      <c r="P43" s="47" t="s">
        <v>13</v>
      </c>
      <c r="Q43" s="47" t="s">
        <v>3</v>
      </c>
      <c r="R43" s="47" t="s">
        <v>25</v>
      </c>
      <c r="S43" s="47" t="s">
        <v>12</v>
      </c>
      <c r="T43" s="47" t="s">
        <v>13</v>
      </c>
      <c r="U43" s="47" t="s">
        <v>23</v>
      </c>
      <c r="V43" s="48" t="s">
        <v>25</v>
      </c>
      <c r="W43" s="47" t="s">
        <v>12</v>
      </c>
      <c r="X43" s="47" t="s">
        <v>13</v>
      </c>
      <c r="Y43" s="47" t="s">
        <v>23</v>
      </c>
      <c r="Z43" s="47" t="s">
        <v>25</v>
      </c>
      <c r="AA43" s="281"/>
      <c r="AB43" s="13"/>
    </row>
    <row r="44" spans="1:28" x14ac:dyDescent="0.25">
      <c r="A44" s="56" t="s">
        <v>8</v>
      </c>
      <c r="B44" s="278" t="s">
        <v>72</v>
      </c>
      <c r="C44" s="279"/>
      <c r="D44" s="280"/>
      <c r="E44" s="68" t="s">
        <v>73</v>
      </c>
      <c r="F44" s="69">
        <v>2600</v>
      </c>
      <c r="G44" s="69">
        <v>237</v>
      </c>
      <c r="H44" s="69">
        <f>F44*G44</f>
        <v>616200</v>
      </c>
      <c r="I44" s="69">
        <v>7</v>
      </c>
      <c r="J44" s="69">
        <f>571350+603</f>
        <v>571953</v>
      </c>
      <c r="K44" s="69">
        <v>67</v>
      </c>
      <c r="L44" s="69">
        <f>K44*F44</f>
        <v>174200</v>
      </c>
      <c r="M44" s="69">
        <v>35</v>
      </c>
      <c r="N44" s="69">
        <f>L44+51870</f>
        <v>226070</v>
      </c>
      <c r="O44" s="69">
        <v>92</v>
      </c>
      <c r="P44" s="69">
        <f>O44*F44</f>
        <v>239200</v>
      </c>
      <c r="Q44" s="69">
        <v>70</v>
      </c>
      <c r="R44" s="70">
        <f>P44+152880</f>
        <v>392080</v>
      </c>
      <c r="S44" s="69">
        <v>140</v>
      </c>
      <c r="T44" s="69">
        <f>S44*F44</f>
        <v>364000</v>
      </c>
      <c r="U44" s="69">
        <v>20</v>
      </c>
      <c r="V44" s="71">
        <f>T44+69680</f>
        <v>433680</v>
      </c>
      <c r="W44" s="69">
        <v>86</v>
      </c>
      <c r="X44" s="69">
        <f>F44*W44</f>
        <v>223600</v>
      </c>
      <c r="Y44" s="69">
        <v>55</v>
      </c>
      <c r="Z44" s="71">
        <f>X44+117260</f>
        <v>340860</v>
      </c>
      <c r="AA44" s="69">
        <f>J44+N44+R44+V44+Z44</f>
        <v>1964643</v>
      </c>
      <c r="AB44" s="9"/>
    </row>
    <row r="45" spans="1:28" x14ac:dyDescent="0.25">
      <c r="A45" s="56" t="s">
        <v>17</v>
      </c>
      <c r="B45" s="278" t="s">
        <v>79</v>
      </c>
      <c r="C45" s="279"/>
      <c r="D45" s="280"/>
      <c r="E45" s="69"/>
      <c r="F45" s="69"/>
      <c r="G45" s="69"/>
      <c r="H45" s="69"/>
      <c r="I45" s="69"/>
      <c r="J45" s="69">
        <v>14574</v>
      </c>
      <c r="K45" s="69"/>
      <c r="L45" s="69"/>
      <c r="M45" s="69"/>
      <c r="N45" s="69">
        <v>14574</v>
      </c>
      <c r="O45" s="69"/>
      <c r="P45" s="69"/>
      <c r="Q45" s="69"/>
      <c r="R45" s="70">
        <v>14574</v>
      </c>
      <c r="S45" s="69"/>
      <c r="T45" s="69"/>
      <c r="U45" s="69"/>
      <c r="V45" s="71">
        <v>14574</v>
      </c>
      <c r="W45" s="69"/>
      <c r="X45" s="69"/>
      <c r="Y45" s="69"/>
      <c r="Z45" s="71">
        <v>14574</v>
      </c>
      <c r="AA45" s="69">
        <f>J45+N45+R45+V45+Z45</f>
        <v>72870</v>
      </c>
      <c r="AB45" s="9"/>
    </row>
    <row r="46" spans="1:28" x14ac:dyDescent="0.25">
      <c r="A46" s="56" t="s">
        <v>20</v>
      </c>
      <c r="B46" s="314" t="s">
        <v>80</v>
      </c>
      <c r="C46" s="315"/>
      <c r="D46" s="316"/>
      <c r="E46" s="68" t="s">
        <v>73</v>
      </c>
      <c r="F46" s="69">
        <v>1180</v>
      </c>
      <c r="G46" s="69">
        <v>237</v>
      </c>
      <c r="H46" s="69">
        <f>F46*G46</f>
        <v>279660</v>
      </c>
      <c r="I46" s="282">
        <v>-31</v>
      </c>
      <c r="J46" s="282">
        <v>762025.27</v>
      </c>
      <c r="K46" s="69">
        <v>67</v>
      </c>
      <c r="L46" s="69">
        <f>F46*K46</f>
        <v>79060</v>
      </c>
      <c r="M46" s="282">
        <v>10</v>
      </c>
      <c r="N46" s="282">
        <v>343430.95</v>
      </c>
      <c r="O46" s="69">
        <v>92</v>
      </c>
      <c r="P46" s="69">
        <f>13.91*92*85</f>
        <v>108776.2</v>
      </c>
      <c r="Q46" s="282">
        <v>-18</v>
      </c>
      <c r="R46" s="343">
        <f>P46+P47-77162.48</f>
        <v>351543.72000000003</v>
      </c>
      <c r="S46" s="69">
        <v>140</v>
      </c>
      <c r="T46" s="69">
        <f>13.91*85*140</f>
        <v>165529</v>
      </c>
      <c r="U46" s="282">
        <v>12</v>
      </c>
      <c r="V46" s="343">
        <f>T46+T47+78281</f>
        <v>730660</v>
      </c>
      <c r="W46" s="69">
        <v>86</v>
      </c>
      <c r="X46" s="69">
        <f>13.91*85*86</f>
        <v>101682.09999999999</v>
      </c>
      <c r="Y46" s="282">
        <v>72</v>
      </c>
      <c r="Z46" s="343">
        <f>X46+X47+288520.57</f>
        <v>689267.66999999993</v>
      </c>
      <c r="AA46" s="69"/>
      <c r="AB46" s="9"/>
    </row>
    <row r="47" spans="1:28" x14ac:dyDescent="0.25">
      <c r="A47" s="56" t="s">
        <v>27</v>
      </c>
      <c r="B47" s="314" t="s">
        <v>81</v>
      </c>
      <c r="C47" s="315"/>
      <c r="D47" s="316"/>
      <c r="E47" s="68" t="s">
        <v>73</v>
      </c>
      <c r="F47" s="69">
        <v>3480</v>
      </c>
      <c r="G47" s="69">
        <v>237</v>
      </c>
      <c r="H47" s="69">
        <f>250*237*13.91</f>
        <v>824167.5</v>
      </c>
      <c r="I47" s="283"/>
      <c r="J47" s="283"/>
      <c r="K47" s="69"/>
      <c r="L47" s="69">
        <f>13.91*250*67</f>
        <v>232992.5</v>
      </c>
      <c r="M47" s="283"/>
      <c r="N47" s="283"/>
      <c r="O47" s="69"/>
      <c r="P47" s="69">
        <f>13.91*250*92</f>
        <v>319930</v>
      </c>
      <c r="Q47" s="283"/>
      <c r="R47" s="344"/>
      <c r="S47" s="69"/>
      <c r="T47" s="69">
        <f>250*13.91*140</f>
        <v>486850</v>
      </c>
      <c r="U47" s="283"/>
      <c r="V47" s="344"/>
      <c r="W47" s="69"/>
      <c r="X47" s="69">
        <f>250*13.91*86</f>
        <v>299065</v>
      </c>
      <c r="Y47" s="283"/>
      <c r="Z47" s="344"/>
      <c r="AA47" s="72">
        <f>J46+N46+R46+V46+Z46</f>
        <v>2876927.61</v>
      </c>
      <c r="AB47" s="9"/>
    </row>
    <row r="48" spans="1:28" x14ac:dyDescent="0.25">
      <c r="A48" s="56" t="s">
        <v>83</v>
      </c>
      <c r="B48" s="314" t="s">
        <v>84</v>
      </c>
      <c r="C48" s="315"/>
      <c r="D48" s="316"/>
      <c r="E48" s="73" t="s">
        <v>73</v>
      </c>
      <c r="F48" s="69">
        <v>2500</v>
      </c>
      <c r="G48" s="69">
        <v>237</v>
      </c>
      <c r="H48" s="69">
        <f>237*F48</f>
        <v>592500</v>
      </c>
      <c r="I48" s="69">
        <v>-15</v>
      </c>
      <c r="J48" s="69">
        <f>H48-88875</f>
        <v>503625</v>
      </c>
      <c r="K48" s="69">
        <v>67</v>
      </c>
      <c r="L48" s="69">
        <f>K48*F48</f>
        <v>167500</v>
      </c>
      <c r="M48" s="69">
        <v>35</v>
      </c>
      <c r="N48" s="69">
        <f>L48+58625</f>
        <v>226125</v>
      </c>
      <c r="O48" s="69">
        <v>92</v>
      </c>
      <c r="P48" s="69">
        <f>O48*F48</f>
        <v>230000</v>
      </c>
      <c r="Q48" s="69">
        <v>35</v>
      </c>
      <c r="R48" s="71">
        <f>P48+80500</f>
        <v>310500</v>
      </c>
      <c r="S48" s="69">
        <v>140</v>
      </c>
      <c r="T48" s="69">
        <f>S48*F48</f>
        <v>350000</v>
      </c>
      <c r="U48" s="69">
        <v>-10</v>
      </c>
      <c r="V48" s="71">
        <f>T48-35000</f>
        <v>315000</v>
      </c>
      <c r="W48" s="69">
        <v>86</v>
      </c>
      <c r="X48" s="69">
        <f>W48*F48</f>
        <v>215000</v>
      </c>
      <c r="Y48" s="69">
        <v>30</v>
      </c>
      <c r="Z48" s="71">
        <f>X48+64500</f>
        <v>279500</v>
      </c>
      <c r="AA48" s="72">
        <f t="shared" ref="AA48:AA53" si="6">J48+N48+R48+V48+Z48</f>
        <v>1634750</v>
      </c>
      <c r="AB48" s="9"/>
    </row>
    <row r="49" spans="1:28" x14ac:dyDescent="0.25">
      <c r="A49" s="56" t="s">
        <v>85</v>
      </c>
      <c r="B49" s="314" t="s">
        <v>86</v>
      </c>
      <c r="C49" s="315"/>
      <c r="D49" s="316"/>
      <c r="E49" s="73" t="s">
        <v>73</v>
      </c>
      <c r="F49" s="69">
        <v>1000</v>
      </c>
      <c r="G49" s="69">
        <v>237</v>
      </c>
      <c r="H49" s="69">
        <f>G49*F49</f>
        <v>237000</v>
      </c>
      <c r="I49" s="69"/>
      <c r="J49" s="74">
        <f>H49</f>
        <v>237000</v>
      </c>
      <c r="K49" s="69">
        <v>67</v>
      </c>
      <c r="L49" s="69">
        <f>K49*F49</f>
        <v>67000</v>
      </c>
      <c r="M49" s="69"/>
      <c r="N49" s="74">
        <f>L49</f>
        <v>67000</v>
      </c>
      <c r="O49" s="69">
        <v>92</v>
      </c>
      <c r="P49" s="69">
        <f>O49*F49</f>
        <v>92000</v>
      </c>
      <c r="Q49" s="69"/>
      <c r="R49" s="75">
        <f>P49</f>
        <v>92000</v>
      </c>
      <c r="S49" s="69">
        <v>140</v>
      </c>
      <c r="T49" s="69">
        <f>S49*F49</f>
        <v>140000</v>
      </c>
      <c r="U49" s="69"/>
      <c r="V49" s="75">
        <f>T49</f>
        <v>140000</v>
      </c>
      <c r="W49" s="69">
        <v>86</v>
      </c>
      <c r="X49" s="69">
        <f>W49*F49</f>
        <v>86000</v>
      </c>
      <c r="Y49" s="69"/>
      <c r="Z49" s="75">
        <f>X49</f>
        <v>86000</v>
      </c>
      <c r="AA49" s="69">
        <f t="shared" si="6"/>
        <v>622000</v>
      </c>
      <c r="AB49" s="9"/>
    </row>
    <row r="50" spans="1:28" x14ac:dyDescent="0.25">
      <c r="A50" s="56" t="s">
        <v>87</v>
      </c>
      <c r="B50" s="314" t="s">
        <v>88</v>
      </c>
      <c r="C50" s="315"/>
      <c r="D50" s="316"/>
      <c r="E50" s="73" t="s">
        <v>73</v>
      </c>
      <c r="F50" s="69">
        <v>2500</v>
      </c>
      <c r="G50" s="69">
        <v>237</v>
      </c>
      <c r="H50" s="69">
        <f>G50*F50</f>
        <v>592500</v>
      </c>
      <c r="I50" s="69"/>
      <c r="J50" s="69">
        <f>H50</f>
        <v>592500</v>
      </c>
      <c r="K50" s="69"/>
      <c r="L50" s="69">
        <f>K49*F50</f>
        <v>167500</v>
      </c>
      <c r="M50" s="69"/>
      <c r="N50" s="69">
        <f>L50</f>
        <v>167500</v>
      </c>
      <c r="O50" s="69"/>
      <c r="P50" s="69">
        <f>O49*F50</f>
        <v>230000</v>
      </c>
      <c r="Q50" s="69"/>
      <c r="R50" s="71">
        <f>P50</f>
        <v>230000</v>
      </c>
      <c r="S50" s="69"/>
      <c r="T50" s="69">
        <f>S49*F50</f>
        <v>350000</v>
      </c>
      <c r="U50" s="69"/>
      <c r="V50" s="71">
        <f>T50</f>
        <v>350000</v>
      </c>
      <c r="W50" s="69"/>
      <c r="X50" s="69">
        <f>W49*F50</f>
        <v>215000</v>
      </c>
      <c r="Y50" s="69"/>
      <c r="Z50" s="71">
        <f>X50</f>
        <v>215000</v>
      </c>
      <c r="AA50" s="69">
        <f t="shared" si="6"/>
        <v>1555000</v>
      </c>
      <c r="AB50" s="9"/>
    </row>
    <row r="51" spans="1:28" x14ac:dyDescent="0.25">
      <c r="A51" s="57" t="s">
        <v>89</v>
      </c>
      <c r="B51" s="292" t="s">
        <v>90</v>
      </c>
      <c r="C51" s="293"/>
      <c r="D51" s="294"/>
      <c r="E51" s="76" t="s">
        <v>73</v>
      </c>
      <c r="F51" s="77"/>
      <c r="G51" s="77"/>
      <c r="H51" s="77"/>
      <c r="I51" s="77"/>
      <c r="J51" s="77">
        <f>2332542+2480</f>
        <v>2335022</v>
      </c>
      <c r="K51" s="77"/>
      <c r="L51" s="77"/>
      <c r="M51" s="77"/>
      <c r="N51" s="77">
        <f>1701+1409</f>
        <v>3110</v>
      </c>
      <c r="O51" s="77"/>
      <c r="P51" s="77"/>
      <c r="Q51" s="77"/>
      <c r="R51" s="78">
        <f>6161+5282</f>
        <v>11443</v>
      </c>
      <c r="S51" s="77"/>
      <c r="T51" s="77"/>
      <c r="U51" s="77"/>
      <c r="V51" s="78">
        <f>3071349+6603</f>
        <v>3077952</v>
      </c>
      <c r="W51" s="77"/>
      <c r="X51" s="77"/>
      <c r="Y51" s="77"/>
      <c r="Z51" s="78">
        <f>2707+1648</f>
        <v>4355</v>
      </c>
      <c r="AA51" s="69">
        <f t="shared" si="6"/>
        <v>5431882</v>
      </c>
      <c r="AB51" s="9"/>
    </row>
    <row r="52" spans="1:28" x14ac:dyDescent="0.25">
      <c r="A52" s="56" t="s">
        <v>91</v>
      </c>
      <c r="B52" s="278" t="s">
        <v>92</v>
      </c>
      <c r="C52" s="279"/>
      <c r="D52" s="280"/>
      <c r="E52" s="73" t="s">
        <v>73</v>
      </c>
      <c r="F52" s="69"/>
      <c r="G52" s="69"/>
      <c r="H52" s="69"/>
      <c r="I52" s="69"/>
      <c r="J52" s="69">
        <v>1313300</v>
      </c>
      <c r="K52" s="69"/>
      <c r="L52" s="69"/>
      <c r="M52" s="69"/>
      <c r="N52" s="69">
        <v>322100</v>
      </c>
      <c r="O52" s="69"/>
      <c r="P52" s="69"/>
      <c r="Q52" s="69"/>
      <c r="R52" s="71">
        <v>477000</v>
      </c>
      <c r="S52" s="69"/>
      <c r="T52" s="69"/>
      <c r="U52" s="69"/>
      <c r="V52" s="71">
        <v>525500</v>
      </c>
      <c r="W52" s="69"/>
      <c r="X52" s="69"/>
      <c r="Y52" s="69"/>
      <c r="Z52" s="71">
        <v>436300</v>
      </c>
      <c r="AA52" s="69">
        <f t="shared" si="6"/>
        <v>3074200</v>
      </c>
      <c r="AB52" s="9"/>
    </row>
    <row r="53" spans="1:28" x14ac:dyDescent="0.25">
      <c r="A53" s="56" t="s">
        <v>93</v>
      </c>
      <c r="B53" s="278" t="s">
        <v>94</v>
      </c>
      <c r="C53" s="279"/>
      <c r="D53" s="280"/>
      <c r="E53" s="73" t="s">
        <v>73</v>
      </c>
      <c r="F53" s="69"/>
      <c r="G53" s="69"/>
      <c r="H53" s="69"/>
      <c r="I53" s="69"/>
      <c r="J53" s="69">
        <v>28100</v>
      </c>
      <c r="K53" s="69"/>
      <c r="L53" s="69"/>
      <c r="M53" s="69"/>
      <c r="N53" s="69">
        <v>28100</v>
      </c>
      <c r="O53" s="69"/>
      <c r="P53" s="69"/>
      <c r="Q53" s="69"/>
      <c r="R53" s="71">
        <v>14000</v>
      </c>
      <c r="S53" s="69"/>
      <c r="T53" s="69"/>
      <c r="U53" s="69"/>
      <c r="V53" s="71">
        <v>21100</v>
      </c>
      <c r="W53" s="69"/>
      <c r="X53" s="69"/>
      <c r="Y53" s="69"/>
      <c r="Z53" s="71">
        <v>7000</v>
      </c>
      <c r="AA53" s="69">
        <f t="shared" si="6"/>
        <v>98300</v>
      </c>
      <c r="AB53" s="9"/>
    </row>
    <row r="54" spans="1:28" ht="16.5" customHeight="1" x14ac:dyDescent="0.25">
      <c r="A54" s="56">
        <v>11</v>
      </c>
      <c r="B54" s="295" t="s">
        <v>95</v>
      </c>
      <c r="C54" s="295"/>
      <c r="D54" s="295"/>
      <c r="E54" s="73" t="s">
        <v>73</v>
      </c>
      <c r="F54" s="69">
        <v>100</v>
      </c>
      <c r="G54" s="69"/>
      <c r="H54" s="69"/>
      <c r="I54" s="69"/>
      <c r="J54" s="69">
        <v>23700</v>
      </c>
      <c r="K54" s="69"/>
      <c r="L54" s="69"/>
      <c r="M54" s="69"/>
      <c r="N54" s="69">
        <v>6700</v>
      </c>
      <c r="O54" s="69"/>
      <c r="P54" s="69"/>
      <c r="Q54" s="69"/>
      <c r="R54" s="71">
        <v>9200</v>
      </c>
      <c r="S54" s="69"/>
      <c r="T54" s="69"/>
      <c r="U54" s="69"/>
      <c r="V54" s="71">
        <v>14000</v>
      </c>
      <c r="W54" s="69"/>
      <c r="X54" s="69"/>
      <c r="Y54" s="69"/>
      <c r="Z54" s="71">
        <v>8600</v>
      </c>
      <c r="AA54" s="69">
        <v>62200</v>
      </c>
      <c r="AB54" s="9"/>
    </row>
    <row r="55" spans="1:28" ht="16.5" customHeight="1" x14ac:dyDescent="0.25">
      <c r="A55" s="56" t="s">
        <v>100</v>
      </c>
      <c r="B55" s="278" t="s">
        <v>104</v>
      </c>
      <c r="C55" s="279"/>
      <c r="D55" s="280"/>
      <c r="E55" s="73" t="s">
        <v>73</v>
      </c>
      <c r="F55" s="69"/>
      <c r="G55" s="69"/>
      <c r="H55" s="69"/>
      <c r="I55" s="69"/>
      <c r="J55" s="74">
        <v>5944877</v>
      </c>
      <c r="K55" s="69"/>
      <c r="L55" s="69"/>
      <c r="M55" s="69"/>
      <c r="N55" s="74">
        <v>2736021</v>
      </c>
      <c r="O55" s="69"/>
      <c r="P55" s="69"/>
      <c r="Q55" s="69"/>
      <c r="R55" s="75">
        <v>3175706</v>
      </c>
      <c r="S55" s="69"/>
      <c r="T55" s="69"/>
      <c r="U55" s="69"/>
      <c r="V55" s="75">
        <v>4319780</v>
      </c>
      <c r="W55" s="69"/>
      <c r="X55" s="69"/>
      <c r="Y55" s="69"/>
      <c r="Z55" s="75">
        <v>2525483</v>
      </c>
      <c r="AA55" s="69">
        <f>J55+N55+R55+V55+Z55</f>
        <v>18701867</v>
      </c>
      <c r="AB55" s="9"/>
    </row>
    <row r="56" spans="1:28" ht="16.5" customHeight="1" x14ac:dyDescent="0.25">
      <c r="A56" s="56" t="s">
        <v>101</v>
      </c>
      <c r="B56" s="278" t="s">
        <v>102</v>
      </c>
      <c r="C56" s="279"/>
      <c r="D56" s="280"/>
      <c r="E56" s="73" t="s">
        <v>73</v>
      </c>
      <c r="F56" s="69"/>
      <c r="G56" s="69"/>
      <c r="H56" s="69"/>
      <c r="I56" s="69"/>
      <c r="J56" s="69">
        <f>3198400-5873.61</f>
        <v>3192526.39</v>
      </c>
      <c r="K56" s="69"/>
      <c r="L56" s="69"/>
      <c r="M56" s="69"/>
      <c r="N56" s="69">
        <v>953888</v>
      </c>
      <c r="O56" s="69"/>
      <c r="P56" s="69"/>
      <c r="Q56" s="69"/>
      <c r="R56" s="71">
        <v>756898</v>
      </c>
      <c r="S56" s="69"/>
      <c r="T56" s="69"/>
      <c r="U56" s="69"/>
      <c r="V56" s="71">
        <v>3198400</v>
      </c>
      <c r="W56" s="69"/>
      <c r="X56" s="69"/>
      <c r="Y56" s="69"/>
      <c r="Z56" s="71">
        <v>1084548</v>
      </c>
      <c r="AA56" s="69">
        <f>J56+N56+R56+V56+Z56</f>
        <v>9186260.3900000006</v>
      </c>
      <c r="AB56" s="9"/>
    </row>
    <row r="57" spans="1:28" x14ac:dyDescent="0.25">
      <c r="A57" s="339" t="s">
        <v>103</v>
      </c>
      <c r="B57" s="339"/>
      <c r="C57" s="339"/>
      <c r="D57" s="339"/>
      <c r="E57" s="79"/>
      <c r="F57" s="80"/>
      <c r="G57" s="80"/>
      <c r="H57" s="80"/>
      <c r="I57" s="80"/>
      <c r="J57" s="80">
        <f>SUM(J44:J56)</f>
        <v>15519202.66</v>
      </c>
      <c r="K57" s="80"/>
      <c r="L57" s="80"/>
      <c r="M57" s="80"/>
      <c r="N57" s="80">
        <f>SUM(N44:N56)</f>
        <v>5094618.95</v>
      </c>
      <c r="O57" s="80"/>
      <c r="P57" s="80"/>
      <c r="Q57" s="80"/>
      <c r="R57" s="81">
        <f>SUM(R44:R56)</f>
        <v>5834944.7199999997</v>
      </c>
      <c r="S57" s="80"/>
      <c r="T57" s="80"/>
      <c r="U57" s="80"/>
      <c r="V57" s="81">
        <f>SUM(V44:V56)</f>
        <v>13140646</v>
      </c>
      <c r="W57" s="80"/>
      <c r="X57" s="80"/>
      <c r="Y57" s="80"/>
      <c r="Z57" s="80">
        <f>SUM(Z44:Z56)</f>
        <v>5691487.6699999999</v>
      </c>
      <c r="AA57" s="81">
        <f>SUM(AA44:AA56)</f>
        <v>45280900</v>
      </c>
      <c r="AB57" s="9"/>
    </row>
    <row r="58" spans="1:28" x14ac:dyDescent="0.25">
      <c r="A58" s="82"/>
      <c r="B58" s="83" t="s">
        <v>114</v>
      </c>
      <c r="C58" s="83"/>
      <c r="D58" s="83"/>
      <c r="E58" s="84"/>
      <c r="F58" s="54"/>
      <c r="G58" s="54"/>
      <c r="H58" s="54"/>
      <c r="I58" s="54"/>
      <c r="J58" s="54">
        <f>J57/G44</f>
        <v>65481.867763713082</v>
      </c>
      <c r="K58" s="54"/>
      <c r="L58" s="54"/>
      <c r="M58" s="54"/>
      <c r="N58" s="54">
        <f>N57/K44</f>
        <v>76039.088805970154</v>
      </c>
      <c r="O58" s="54"/>
      <c r="P58" s="54"/>
      <c r="Q58" s="54"/>
      <c r="R58" s="54">
        <f>R57/O44</f>
        <v>63423.312173913044</v>
      </c>
      <c r="S58" s="54"/>
      <c r="T58" s="54"/>
      <c r="U58" s="54"/>
      <c r="V58" s="54">
        <f>V57/S44</f>
        <v>93861.757142857139</v>
      </c>
      <c r="W58" s="54"/>
      <c r="X58" s="54"/>
      <c r="Y58" s="54"/>
      <c r="Z58" s="54">
        <f>Z57/W44</f>
        <v>66180.089186046505</v>
      </c>
      <c r="AA58" s="54"/>
    </row>
    <row r="59" spans="1:28" x14ac:dyDescent="0.25">
      <c r="A59" s="34"/>
      <c r="B59" s="32"/>
      <c r="C59" s="32"/>
      <c r="D59" s="32"/>
      <c r="E59" s="33"/>
      <c r="AA59">
        <v>45280.9</v>
      </c>
    </row>
    <row r="61" spans="1:28" ht="29.25" customHeight="1" x14ac:dyDescent="0.25">
      <c r="A61" s="324" t="s">
        <v>4</v>
      </c>
      <c r="B61" s="326" t="s">
        <v>71</v>
      </c>
      <c r="C61" s="327"/>
      <c r="D61" s="328"/>
      <c r="E61" s="290" t="s">
        <v>2</v>
      </c>
      <c r="F61" s="276" t="s">
        <v>107</v>
      </c>
      <c r="G61" s="281" t="s">
        <v>38</v>
      </c>
      <c r="H61" s="281"/>
      <c r="I61" s="281"/>
      <c r="J61" s="281"/>
      <c r="K61" s="281" t="s">
        <v>39</v>
      </c>
      <c r="L61" s="281"/>
      <c r="M61" s="281"/>
      <c r="N61" s="281"/>
      <c r="O61" s="281" t="s">
        <v>40</v>
      </c>
      <c r="P61" s="281"/>
      <c r="Q61" s="281"/>
      <c r="R61" s="281"/>
      <c r="S61" s="276" t="s">
        <v>110</v>
      </c>
    </row>
    <row r="62" spans="1:28" ht="70.5" customHeight="1" x14ac:dyDescent="0.25">
      <c r="A62" s="325"/>
      <c r="B62" s="329"/>
      <c r="C62" s="330"/>
      <c r="D62" s="331"/>
      <c r="E62" s="291"/>
      <c r="F62" s="277"/>
      <c r="G62" s="47" t="s">
        <v>108</v>
      </c>
      <c r="H62" s="47" t="s">
        <v>13</v>
      </c>
      <c r="I62" s="47" t="s">
        <v>14</v>
      </c>
      <c r="J62" s="47" t="s">
        <v>25</v>
      </c>
      <c r="K62" s="47" t="s">
        <v>12</v>
      </c>
      <c r="L62" s="47" t="s">
        <v>116</v>
      </c>
      <c r="M62" s="47" t="s">
        <v>14</v>
      </c>
      <c r="N62" s="47" t="s">
        <v>25</v>
      </c>
      <c r="O62" s="47" t="s">
        <v>12</v>
      </c>
      <c r="P62" s="47" t="s">
        <v>116</v>
      </c>
      <c r="Q62" s="47" t="s">
        <v>3</v>
      </c>
      <c r="R62" s="47" t="s">
        <v>25</v>
      </c>
      <c r="S62" s="277"/>
    </row>
    <row r="63" spans="1:28" x14ac:dyDescent="0.25">
      <c r="A63" s="49" t="s">
        <v>8</v>
      </c>
      <c r="B63" s="287" t="s">
        <v>72</v>
      </c>
      <c r="C63" s="288"/>
      <c r="D63" s="289"/>
      <c r="E63" s="50" t="s">
        <v>73</v>
      </c>
      <c r="F63" s="85">
        <v>3000</v>
      </c>
      <c r="G63" s="51">
        <v>197</v>
      </c>
      <c r="H63" s="86">
        <f>F63*G63</f>
        <v>591000</v>
      </c>
      <c r="I63" s="51"/>
      <c r="J63" s="86">
        <f>H63</f>
        <v>591000</v>
      </c>
      <c r="K63" s="51">
        <v>545</v>
      </c>
      <c r="L63" s="85">
        <v>1000</v>
      </c>
      <c r="M63" s="51"/>
      <c r="N63" s="86">
        <f>K63*L63</f>
        <v>545000</v>
      </c>
      <c r="O63" s="51">
        <v>447</v>
      </c>
      <c r="P63" s="85">
        <v>1000</v>
      </c>
      <c r="Q63" s="51">
        <v>28</v>
      </c>
      <c r="R63" s="86">
        <f>(O63*P63)+125160</f>
        <v>572160</v>
      </c>
      <c r="S63" s="86">
        <f t="shared" ref="S63:S75" si="7">J63+N63+R63</f>
        <v>1708160</v>
      </c>
    </row>
    <row r="64" spans="1:28" x14ac:dyDescent="0.25">
      <c r="A64" s="49" t="s">
        <v>17</v>
      </c>
      <c r="B64" s="287" t="s">
        <v>79</v>
      </c>
      <c r="C64" s="288"/>
      <c r="D64" s="289"/>
      <c r="E64" s="50" t="s">
        <v>73</v>
      </c>
      <c r="F64" s="85">
        <v>1100</v>
      </c>
      <c r="G64" s="51"/>
      <c r="H64" s="86">
        <v>210888</v>
      </c>
      <c r="I64" s="51"/>
      <c r="J64" s="86">
        <f>H64</f>
        <v>210888</v>
      </c>
      <c r="K64" s="51"/>
      <c r="L64" s="85">
        <v>250</v>
      </c>
      <c r="M64" s="51"/>
      <c r="N64" s="86">
        <v>137870</v>
      </c>
      <c r="O64" s="51"/>
      <c r="P64" s="85">
        <v>450</v>
      </c>
      <c r="Q64" s="51"/>
      <c r="R64" s="86">
        <v>197184</v>
      </c>
      <c r="S64" s="86">
        <f t="shared" si="7"/>
        <v>545942</v>
      </c>
    </row>
    <row r="65" spans="1:27" ht="32.25" customHeight="1" x14ac:dyDescent="0.25">
      <c r="A65" s="49" t="s">
        <v>20</v>
      </c>
      <c r="B65" s="317" t="s">
        <v>105</v>
      </c>
      <c r="C65" s="318"/>
      <c r="D65" s="319"/>
      <c r="E65" s="50" t="s">
        <v>73</v>
      </c>
      <c r="F65" s="85">
        <v>280</v>
      </c>
      <c r="G65" s="51"/>
      <c r="H65" s="86"/>
      <c r="I65" s="51"/>
      <c r="J65" s="86">
        <v>54100</v>
      </c>
      <c r="K65" s="51"/>
      <c r="L65" s="85">
        <v>170</v>
      </c>
      <c r="M65" s="51"/>
      <c r="N65" s="86">
        <v>90200</v>
      </c>
      <c r="O65" s="51"/>
      <c r="P65" s="85">
        <v>450</v>
      </c>
      <c r="Q65" s="51"/>
      <c r="R65" s="86">
        <v>200000</v>
      </c>
      <c r="S65" s="86">
        <f t="shared" si="7"/>
        <v>344300</v>
      </c>
    </row>
    <row r="66" spans="1:27" x14ac:dyDescent="0.25">
      <c r="A66" s="49" t="s">
        <v>27</v>
      </c>
      <c r="B66" s="320" t="s">
        <v>102</v>
      </c>
      <c r="C66" s="320"/>
      <c r="D66" s="320"/>
      <c r="E66" s="50" t="s">
        <v>73</v>
      </c>
      <c r="F66" s="86"/>
      <c r="G66" s="51"/>
      <c r="H66" s="86"/>
      <c r="I66" s="51"/>
      <c r="J66" s="86">
        <v>431929</v>
      </c>
      <c r="K66" s="51"/>
      <c r="L66" s="86"/>
      <c r="M66" s="51"/>
      <c r="N66" s="86">
        <v>345205</v>
      </c>
      <c r="O66" s="51"/>
      <c r="P66" s="86"/>
      <c r="Q66" s="51"/>
      <c r="R66" s="86">
        <f>5421791+300000</f>
        <v>5721791</v>
      </c>
      <c r="S66" s="86">
        <f t="shared" si="7"/>
        <v>6498925</v>
      </c>
      <c r="V66" s="31"/>
    </row>
    <row r="67" spans="1:27" x14ac:dyDescent="0.25">
      <c r="A67" s="49" t="s">
        <v>83</v>
      </c>
      <c r="B67" s="320" t="s">
        <v>106</v>
      </c>
      <c r="C67" s="320"/>
      <c r="D67" s="320"/>
      <c r="E67" s="50" t="s">
        <v>73</v>
      </c>
      <c r="F67" s="85">
        <v>3.3</v>
      </c>
      <c r="G67" s="87">
        <v>54940</v>
      </c>
      <c r="H67" s="88"/>
      <c r="I67" s="51"/>
      <c r="J67" s="86">
        <v>180000</v>
      </c>
      <c r="K67" s="51">
        <v>371500</v>
      </c>
      <c r="L67" s="85">
        <v>0.48</v>
      </c>
      <c r="M67" s="51"/>
      <c r="N67" s="86">
        <v>180000</v>
      </c>
      <c r="O67" s="51">
        <v>537790</v>
      </c>
      <c r="P67" s="85">
        <v>0.67</v>
      </c>
      <c r="Q67" s="51"/>
      <c r="R67" s="89">
        <v>360000</v>
      </c>
      <c r="S67" s="86">
        <f t="shared" si="7"/>
        <v>720000</v>
      </c>
      <c r="T67" s="18"/>
    </row>
    <row r="68" spans="1:27" x14ac:dyDescent="0.25">
      <c r="A68" s="49" t="s">
        <v>85</v>
      </c>
      <c r="B68" s="320" t="s">
        <v>109</v>
      </c>
      <c r="C68" s="320"/>
      <c r="D68" s="320"/>
      <c r="E68" s="50" t="s">
        <v>73</v>
      </c>
      <c r="F68" s="85">
        <v>4.9000000000000004</v>
      </c>
      <c r="G68" s="51">
        <v>54940</v>
      </c>
      <c r="H68" s="86"/>
      <c r="I68" s="51"/>
      <c r="J68" s="86">
        <v>270000</v>
      </c>
      <c r="K68" s="51"/>
      <c r="L68" s="85">
        <v>0.73</v>
      </c>
      <c r="M68" s="51"/>
      <c r="N68" s="86">
        <v>270000</v>
      </c>
      <c r="O68" s="51"/>
      <c r="P68" s="85">
        <v>1.9</v>
      </c>
      <c r="Q68" s="51"/>
      <c r="R68" s="89">
        <f>800000+200000</f>
        <v>1000000</v>
      </c>
      <c r="S68" s="86">
        <f t="shared" si="7"/>
        <v>1540000</v>
      </c>
    </row>
    <row r="69" spans="1:27" x14ac:dyDescent="0.25">
      <c r="A69" s="63" t="s">
        <v>87</v>
      </c>
      <c r="B69" s="321" t="s">
        <v>84</v>
      </c>
      <c r="C69" s="322"/>
      <c r="D69" s="323"/>
      <c r="E69" s="58" t="s">
        <v>73</v>
      </c>
      <c r="F69" s="90">
        <v>320</v>
      </c>
      <c r="G69" s="59"/>
      <c r="H69" s="91">
        <f>F69*5.46*170</f>
        <v>297024</v>
      </c>
      <c r="I69" s="59"/>
      <c r="J69" s="91">
        <v>400000</v>
      </c>
      <c r="K69" s="54"/>
      <c r="L69" s="90">
        <v>770</v>
      </c>
      <c r="M69" s="59"/>
      <c r="N69" s="91">
        <v>420000</v>
      </c>
      <c r="O69" s="59"/>
      <c r="P69" s="90">
        <v>1120</v>
      </c>
      <c r="Q69" s="59"/>
      <c r="R69" s="91">
        <v>900000</v>
      </c>
      <c r="S69" s="86">
        <f t="shared" si="7"/>
        <v>1720000</v>
      </c>
    </row>
    <row r="70" spans="1:27" x14ac:dyDescent="0.25">
      <c r="A70" s="49" t="s">
        <v>89</v>
      </c>
      <c r="B70" s="314" t="s">
        <v>86</v>
      </c>
      <c r="C70" s="315"/>
      <c r="D70" s="316"/>
      <c r="E70" s="58" t="s">
        <v>73</v>
      </c>
      <c r="F70" s="52">
        <v>2.89</v>
      </c>
      <c r="G70" s="51"/>
      <c r="H70" s="86">
        <f>F70*G68</f>
        <v>158776.6</v>
      </c>
      <c r="I70" s="51"/>
      <c r="J70" s="92">
        <v>500000</v>
      </c>
      <c r="K70" s="93"/>
      <c r="L70" s="85">
        <v>0.9</v>
      </c>
      <c r="M70" s="93"/>
      <c r="N70" s="92">
        <v>400000</v>
      </c>
      <c r="O70" s="93"/>
      <c r="P70" s="85">
        <v>0.33</v>
      </c>
      <c r="Q70" s="93"/>
      <c r="R70" s="92">
        <v>180000</v>
      </c>
      <c r="S70" s="86">
        <f t="shared" si="7"/>
        <v>1080000</v>
      </c>
    </row>
    <row r="71" spans="1:27" x14ac:dyDescent="0.25">
      <c r="A71" s="49" t="s">
        <v>91</v>
      </c>
      <c r="B71" s="314" t="s">
        <v>88</v>
      </c>
      <c r="C71" s="315"/>
      <c r="D71" s="316"/>
      <c r="E71" s="58" t="s">
        <v>73</v>
      </c>
      <c r="F71" s="52">
        <v>5.3</v>
      </c>
      <c r="G71" s="51"/>
      <c r="H71" s="86">
        <f>F71*G68</f>
        <v>291182</v>
      </c>
      <c r="I71" s="51"/>
      <c r="J71" s="92">
        <v>400000</v>
      </c>
      <c r="K71" s="93"/>
      <c r="L71" s="85">
        <v>0.98</v>
      </c>
      <c r="M71" s="93"/>
      <c r="N71" s="92">
        <v>364550</v>
      </c>
      <c r="O71" s="93"/>
      <c r="P71" s="85">
        <v>1.58</v>
      </c>
      <c r="Q71" s="93"/>
      <c r="R71" s="92">
        <v>850000</v>
      </c>
      <c r="S71" s="86">
        <f t="shared" si="7"/>
        <v>1614550</v>
      </c>
    </row>
    <row r="72" spans="1:27" x14ac:dyDescent="0.25">
      <c r="A72" s="49" t="s">
        <v>93</v>
      </c>
      <c r="B72" s="292" t="s">
        <v>90</v>
      </c>
      <c r="C72" s="293"/>
      <c r="D72" s="294"/>
      <c r="E72" s="58" t="s">
        <v>73</v>
      </c>
      <c r="F72" s="51"/>
      <c r="G72" s="51"/>
      <c r="H72" s="86"/>
      <c r="I72" s="51"/>
      <c r="J72" s="92">
        <v>204706</v>
      </c>
      <c r="K72" s="93"/>
      <c r="L72" s="92"/>
      <c r="M72" s="93"/>
      <c r="N72" s="92">
        <v>19778</v>
      </c>
      <c r="O72" s="93"/>
      <c r="P72" s="92"/>
      <c r="Q72" s="93"/>
      <c r="R72" s="92">
        <v>977842</v>
      </c>
      <c r="S72" s="86">
        <f t="shared" si="7"/>
        <v>1202326</v>
      </c>
    </row>
    <row r="73" spans="1:27" x14ac:dyDescent="0.25">
      <c r="A73" s="49">
        <v>11</v>
      </c>
      <c r="B73" s="295" t="s">
        <v>95</v>
      </c>
      <c r="C73" s="295"/>
      <c r="D73" s="295"/>
      <c r="E73" s="58" t="s">
        <v>73</v>
      </c>
      <c r="F73" s="52">
        <v>760</v>
      </c>
      <c r="G73" s="51"/>
      <c r="H73" s="86"/>
      <c r="I73" s="51"/>
      <c r="J73" s="86">
        <v>149000</v>
      </c>
      <c r="K73" s="51"/>
      <c r="L73" s="85">
        <v>920</v>
      </c>
      <c r="M73" s="51"/>
      <c r="N73" s="86">
        <v>500000</v>
      </c>
      <c r="O73" s="51"/>
      <c r="P73" s="85">
        <v>4050</v>
      </c>
      <c r="Q73" s="51"/>
      <c r="R73" s="86">
        <v>1800000</v>
      </c>
      <c r="S73" s="86">
        <f t="shared" si="7"/>
        <v>2449000</v>
      </c>
    </row>
    <row r="74" spans="1:27" x14ac:dyDescent="0.25">
      <c r="A74" s="49" t="s">
        <v>100</v>
      </c>
      <c r="B74" s="278" t="s">
        <v>104</v>
      </c>
      <c r="C74" s="279"/>
      <c r="D74" s="280"/>
      <c r="E74" s="58" t="s">
        <v>73</v>
      </c>
      <c r="F74" s="51"/>
      <c r="G74" s="51"/>
      <c r="H74" s="86"/>
      <c r="I74" s="51"/>
      <c r="J74" s="86">
        <v>17128629</v>
      </c>
      <c r="K74" s="51"/>
      <c r="L74" s="86"/>
      <c r="M74" s="51"/>
      <c r="N74" s="86">
        <v>17541368</v>
      </c>
      <c r="O74" s="51"/>
      <c r="P74" s="86"/>
      <c r="Q74" s="51"/>
      <c r="R74" s="86">
        <v>27949996</v>
      </c>
      <c r="S74" s="86">
        <f t="shared" si="7"/>
        <v>62619993</v>
      </c>
    </row>
    <row r="75" spans="1:27" x14ac:dyDescent="0.25">
      <c r="A75" s="49" t="s">
        <v>101</v>
      </c>
      <c r="B75" s="278" t="s">
        <v>111</v>
      </c>
      <c r="C75" s="279"/>
      <c r="D75" s="280"/>
      <c r="E75" s="58" t="s">
        <v>73</v>
      </c>
      <c r="F75" s="85">
        <v>660</v>
      </c>
      <c r="G75" s="51"/>
      <c r="H75" s="86"/>
      <c r="I75" s="51"/>
      <c r="J75" s="86">
        <v>130000</v>
      </c>
      <c r="K75" s="51"/>
      <c r="L75" s="85">
        <v>215</v>
      </c>
      <c r="M75" s="51"/>
      <c r="N75" s="86">
        <v>117000</v>
      </c>
      <c r="O75" s="51"/>
      <c r="P75" s="85">
        <v>400</v>
      </c>
      <c r="Q75" s="51"/>
      <c r="R75" s="86">
        <v>171000</v>
      </c>
      <c r="S75" s="86">
        <f t="shared" si="7"/>
        <v>418000</v>
      </c>
    </row>
    <row r="76" spans="1:27" x14ac:dyDescent="0.25">
      <c r="A76" s="94"/>
      <c r="B76" s="332" t="s">
        <v>112</v>
      </c>
      <c r="C76" s="333"/>
      <c r="D76" s="334"/>
      <c r="E76" s="65"/>
      <c r="F76" s="95"/>
      <c r="G76" s="65"/>
      <c r="H76" s="95"/>
      <c r="I76" s="65"/>
      <c r="J76" s="95">
        <f>SUM(J63:J75)</f>
        <v>20650252</v>
      </c>
      <c r="K76" s="65"/>
      <c r="L76" s="95"/>
      <c r="M76" s="65"/>
      <c r="N76" s="95">
        <f>SUM(N63:N75)</f>
        <v>20930971</v>
      </c>
      <c r="O76" s="65"/>
      <c r="P76" s="95"/>
      <c r="Q76" s="65"/>
      <c r="R76" s="95">
        <f>SUM(R63:R75)</f>
        <v>40879973</v>
      </c>
      <c r="S76" s="95">
        <f>SUM(S63:S75)</f>
        <v>82461196</v>
      </c>
    </row>
    <row r="77" spans="1:27" x14ac:dyDescent="0.25">
      <c r="A77" s="54"/>
      <c r="B77" s="54" t="s">
        <v>115</v>
      </c>
      <c r="C77" s="54"/>
      <c r="D77" s="54"/>
      <c r="E77" s="54"/>
      <c r="F77" s="54"/>
      <c r="G77" s="54"/>
      <c r="H77" s="54"/>
      <c r="I77" s="54"/>
      <c r="J77" s="88">
        <f>J76/G63</f>
        <v>104823.61421319797</v>
      </c>
      <c r="K77" s="54"/>
      <c r="L77" s="54"/>
      <c r="M77" s="54"/>
      <c r="N77" s="88">
        <f>N76/K63</f>
        <v>38405.45137614679</v>
      </c>
      <c r="O77" s="88"/>
      <c r="P77" s="88"/>
      <c r="Q77" s="88"/>
      <c r="R77" s="88">
        <f>R76/O63</f>
        <v>91454.078299776287</v>
      </c>
      <c r="S77" s="54">
        <v>82461196</v>
      </c>
    </row>
    <row r="78" spans="1:27" x14ac:dyDescent="0.25">
      <c r="A78" s="54"/>
      <c r="B78" s="54" t="s">
        <v>117</v>
      </c>
      <c r="C78" s="54"/>
      <c r="D78" s="54"/>
      <c r="E78" s="54"/>
      <c r="F78" s="54"/>
      <c r="G78" s="54"/>
      <c r="H78" s="54"/>
      <c r="I78" s="54"/>
      <c r="J78" s="88">
        <f>J76/G68</f>
        <v>375.8691663633054</v>
      </c>
      <c r="K78" s="54"/>
      <c r="L78" s="54"/>
      <c r="M78" s="54"/>
      <c r="N78" s="88">
        <f>N76/K67</f>
        <v>56.341779273216687</v>
      </c>
      <c r="O78" s="54"/>
      <c r="P78" s="54"/>
      <c r="Q78" s="54"/>
      <c r="R78" s="88">
        <f>R76/O67</f>
        <v>76.014751111028474</v>
      </c>
      <c r="S78" s="88">
        <f>S77-S76</f>
        <v>0</v>
      </c>
    </row>
    <row r="80" spans="1:27" x14ac:dyDescent="0.25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</row>
    <row r="81" spans="1:27" ht="33.75" customHeight="1" x14ac:dyDescent="0.25">
      <c r="A81" s="324" t="s">
        <v>4</v>
      </c>
      <c r="B81" s="326" t="s">
        <v>71</v>
      </c>
      <c r="C81" s="327"/>
      <c r="D81" s="328"/>
      <c r="E81" s="290" t="s">
        <v>2</v>
      </c>
      <c r="F81" s="276" t="s">
        <v>123</v>
      </c>
      <c r="G81" s="281" t="s">
        <v>120</v>
      </c>
      <c r="H81" s="281"/>
      <c r="I81" s="281"/>
      <c r="J81" s="281"/>
      <c r="K81" s="281" t="s">
        <v>118</v>
      </c>
      <c r="L81" s="281"/>
      <c r="M81" s="281"/>
      <c r="N81" s="281"/>
      <c r="O81" s="281" t="s">
        <v>119</v>
      </c>
      <c r="P81" s="281"/>
      <c r="Q81" s="281"/>
      <c r="R81" s="281"/>
      <c r="S81" s="281" t="s">
        <v>129</v>
      </c>
      <c r="T81" s="281"/>
      <c r="U81" s="281"/>
      <c r="V81" s="281"/>
      <c r="W81" s="281" t="s">
        <v>130</v>
      </c>
      <c r="X81" s="281"/>
      <c r="Y81" s="281"/>
      <c r="Z81" s="281"/>
      <c r="AA81" s="67"/>
    </row>
    <row r="82" spans="1:27" ht="89.25" x14ac:dyDescent="0.25">
      <c r="A82" s="325"/>
      <c r="B82" s="329"/>
      <c r="C82" s="330"/>
      <c r="D82" s="331"/>
      <c r="E82" s="291"/>
      <c r="F82" s="277"/>
      <c r="G82" s="47" t="s">
        <v>122</v>
      </c>
      <c r="H82" s="47" t="s">
        <v>13</v>
      </c>
      <c r="I82" s="47" t="s">
        <v>14</v>
      </c>
      <c r="J82" s="47" t="s">
        <v>25</v>
      </c>
      <c r="K82" s="47" t="s">
        <v>122</v>
      </c>
      <c r="L82" s="47" t="s">
        <v>116</v>
      </c>
      <c r="M82" s="47" t="s">
        <v>14</v>
      </c>
      <c r="N82" s="47" t="s">
        <v>25</v>
      </c>
      <c r="O82" s="47" t="s">
        <v>12</v>
      </c>
      <c r="P82" s="47" t="s">
        <v>116</v>
      </c>
      <c r="Q82" s="47" t="s">
        <v>3</v>
      </c>
      <c r="R82" s="47" t="s">
        <v>25</v>
      </c>
      <c r="S82" s="47" t="s">
        <v>121</v>
      </c>
      <c r="T82" s="47" t="s">
        <v>116</v>
      </c>
      <c r="U82" s="47" t="s">
        <v>14</v>
      </c>
      <c r="V82" s="47" t="s">
        <v>25</v>
      </c>
      <c r="W82" s="47" t="s">
        <v>121</v>
      </c>
      <c r="X82" s="47" t="s">
        <v>116</v>
      </c>
      <c r="Y82" s="47" t="s">
        <v>3</v>
      </c>
      <c r="Z82" s="47" t="s">
        <v>25</v>
      </c>
      <c r="AA82" s="67"/>
    </row>
    <row r="83" spans="1:27" x14ac:dyDescent="0.25">
      <c r="A83" s="56" t="s">
        <v>8</v>
      </c>
      <c r="B83" s="278" t="s">
        <v>72</v>
      </c>
      <c r="C83" s="279"/>
      <c r="D83" s="280"/>
      <c r="E83" s="68" t="s">
        <v>73</v>
      </c>
      <c r="F83" s="75">
        <v>35000</v>
      </c>
      <c r="G83" s="69">
        <v>7</v>
      </c>
      <c r="H83" s="71">
        <f>F83*G83</f>
        <v>245000</v>
      </c>
      <c r="I83" s="69">
        <v>20</v>
      </c>
      <c r="J83" s="71">
        <v>294000</v>
      </c>
      <c r="K83" s="74">
        <v>2</v>
      </c>
      <c r="L83" s="75">
        <f>K83*F83</f>
        <v>70000</v>
      </c>
      <c r="M83" s="69"/>
      <c r="N83" s="71">
        <f>L83</f>
        <v>70000</v>
      </c>
      <c r="O83" s="74">
        <v>1</v>
      </c>
      <c r="P83" s="75">
        <f>O83*F83</f>
        <v>35000</v>
      </c>
      <c r="Q83" s="74"/>
      <c r="R83" s="75">
        <f>P83</f>
        <v>35000</v>
      </c>
      <c r="S83" s="69" t="s">
        <v>131</v>
      </c>
      <c r="T83" s="69">
        <f>(17*35000)+(3*20000)</f>
        <v>655000</v>
      </c>
      <c r="U83" s="69">
        <v>35</v>
      </c>
      <c r="V83" s="69">
        <v>863294</v>
      </c>
      <c r="W83" s="69">
        <v>2</v>
      </c>
      <c r="X83" s="69">
        <f>W83*35000</f>
        <v>70000</v>
      </c>
      <c r="Y83" s="69">
        <v>10</v>
      </c>
      <c r="Z83" s="69">
        <v>77000</v>
      </c>
      <c r="AA83" s="67"/>
    </row>
    <row r="84" spans="1:27" x14ac:dyDescent="0.25">
      <c r="A84" s="56" t="s">
        <v>17</v>
      </c>
      <c r="B84" s="278" t="s">
        <v>79</v>
      </c>
      <c r="C84" s="279"/>
      <c r="D84" s="280"/>
      <c r="E84" s="68" t="s">
        <v>73</v>
      </c>
      <c r="F84" s="75">
        <v>1325</v>
      </c>
      <c r="G84" s="69">
        <v>41.25</v>
      </c>
      <c r="H84" s="71">
        <f>F84*G84</f>
        <v>54656.25</v>
      </c>
      <c r="I84" s="69">
        <v>35</v>
      </c>
      <c r="J84" s="71">
        <v>74000</v>
      </c>
      <c r="K84" s="74">
        <v>9.5</v>
      </c>
      <c r="L84" s="75">
        <f>1325*9.5</f>
        <v>12587.5</v>
      </c>
      <c r="M84" s="69"/>
      <c r="N84" s="71">
        <v>12600</v>
      </c>
      <c r="O84" s="74">
        <v>6</v>
      </c>
      <c r="P84" s="75">
        <f>F84*6</f>
        <v>7950</v>
      </c>
      <c r="Q84" s="74">
        <v>40</v>
      </c>
      <c r="R84" s="75">
        <v>12600</v>
      </c>
      <c r="S84" s="69" t="s">
        <v>132</v>
      </c>
      <c r="T84" s="69"/>
      <c r="U84" s="69"/>
      <c r="V84" s="69">
        <v>372110</v>
      </c>
      <c r="W84" s="69">
        <v>12</v>
      </c>
      <c r="X84" s="69"/>
      <c r="Y84" s="69"/>
      <c r="Z84" s="69">
        <v>80296</v>
      </c>
      <c r="AA84" s="67"/>
    </row>
    <row r="85" spans="1:27" x14ac:dyDescent="0.25">
      <c r="A85" s="56" t="s">
        <v>20</v>
      </c>
      <c r="B85" s="350" t="s">
        <v>105</v>
      </c>
      <c r="C85" s="351"/>
      <c r="D85" s="352"/>
      <c r="E85" s="68" t="s">
        <v>73</v>
      </c>
      <c r="F85" s="75"/>
      <c r="G85" s="69"/>
      <c r="H85" s="71"/>
      <c r="I85" s="69"/>
      <c r="J85" s="71"/>
      <c r="K85" s="74"/>
      <c r="L85" s="75"/>
      <c r="M85" s="69"/>
      <c r="N85" s="71"/>
      <c r="O85" s="74"/>
      <c r="P85" s="75"/>
      <c r="Q85" s="74"/>
      <c r="R85" s="75"/>
      <c r="S85" s="69"/>
      <c r="T85" s="69"/>
      <c r="U85" s="69"/>
      <c r="V85" s="69"/>
      <c r="W85" s="69"/>
      <c r="X85" s="69"/>
      <c r="Y85" s="69"/>
      <c r="Z85" s="69"/>
      <c r="AA85" s="67"/>
    </row>
    <row r="86" spans="1:27" x14ac:dyDescent="0.25">
      <c r="A86" s="56" t="s">
        <v>27</v>
      </c>
      <c r="B86" s="295" t="s">
        <v>102</v>
      </c>
      <c r="C86" s="295"/>
      <c r="D86" s="295"/>
      <c r="E86" s="68" t="s">
        <v>73</v>
      </c>
      <c r="F86" s="75"/>
      <c r="G86" s="69"/>
      <c r="H86" s="71"/>
      <c r="I86" s="69"/>
      <c r="J86" s="71">
        <v>951337</v>
      </c>
      <c r="K86" s="74"/>
      <c r="L86" s="75"/>
      <c r="M86" s="69"/>
      <c r="N86" s="71">
        <v>325854</v>
      </c>
      <c r="O86" s="74"/>
      <c r="P86" s="75"/>
      <c r="Q86" s="74"/>
      <c r="R86" s="75">
        <v>234375</v>
      </c>
      <c r="S86" s="69"/>
      <c r="T86" s="69"/>
      <c r="U86" s="69"/>
      <c r="V86" s="69">
        <v>1104309</v>
      </c>
      <c r="W86" s="69"/>
      <c r="X86" s="69"/>
      <c r="Y86" s="69"/>
      <c r="Z86" s="69">
        <v>647600</v>
      </c>
      <c r="AA86" s="67"/>
    </row>
    <row r="87" spans="1:27" x14ac:dyDescent="0.25">
      <c r="A87" s="56" t="s">
        <v>83</v>
      </c>
      <c r="B87" s="295" t="s">
        <v>106</v>
      </c>
      <c r="C87" s="295"/>
      <c r="D87" s="295"/>
      <c r="E87" s="68" t="s">
        <v>73</v>
      </c>
      <c r="F87" s="75">
        <v>300</v>
      </c>
      <c r="G87" s="96">
        <v>1075.7</v>
      </c>
      <c r="H87" s="97">
        <f>G87*F87</f>
        <v>322710</v>
      </c>
      <c r="I87" s="69"/>
      <c r="J87" s="343">
        <f>H87+H88</f>
        <v>591635</v>
      </c>
      <c r="K87" s="74">
        <v>381.6</v>
      </c>
      <c r="L87" s="75">
        <f>K87*F87</f>
        <v>114480</v>
      </c>
      <c r="M87" s="69"/>
      <c r="N87" s="343">
        <f>L87+L88</f>
        <v>209880</v>
      </c>
      <c r="O87" s="74">
        <v>262</v>
      </c>
      <c r="P87" s="75">
        <f>O87*F87</f>
        <v>78600</v>
      </c>
      <c r="Q87" s="74"/>
      <c r="R87" s="348">
        <f>P87+P88</f>
        <v>144100</v>
      </c>
      <c r="S87" s="69">
        <v>1841.8</v>
      </c>
      <c r="T87" s="69">
        <v>400</v>
      </c>
      <c r="U87" s="69"/>
      <c r="V87" s="69">
        <f>S87*T87</f>
        <v>736720</v>
      </c>
      <c r="W87" s="69"/>
      <c r="X87" s="69"/>
      <c r="Y87" s="69"/>
      <c r="Z87" s="69"/>
      <c r="AA87" s="67"/>
    </row>
    <row r="88" spans="1:27" x14ac:dyDescent="0.25">
      <c r="A88" s="56" t="s">
        <v>85</v>
      </c>
      <c r="B88" s="295" t="s">
        <v>109</v>
      </c>
      <c r="C88" s="295"/>
      <c r="D88" s="295"/>
      <c r="E88" s="68" t="s">
        <v>73</v>
      </c>
      <c r="F88" s="75">
        <v>250</v>
      </c>
      <c r="G88" s="69">
        <v>1075.7</v>
      </c>
      <c r="H88" s="97">
        <f>G88*F88</f>
        <v>268925</v>
      </c>
      <c r="I88" s="69"/>
      <c r="J88" s="344"/>
      <c r="K88" s="74">
        <v>381.6</v>
      </c>
      <c r="L88" s="75">
        <f>K88*F88</f>
        <v>95400</v>
      </c>
      <c r="M88" s="69"/>
      <c r="N88" s="344"/>
      <c r="O88" s="74">
        <v>262</v>
      </c>
      <c r="P88" s="75">
        <f>O88*F88</f>
        <v>65500</v>
      </c>
      <c r="Q88" s="74"/>
      <c r="R88" s="349"/>
      <c r="S88" s="69">
        <v>1841.8</v>
      </c>
      <c r="T88" s="69">
        <v>400</v>
      </c>
      <c r="U88" s="69">
        <v>-9</v>
      </c>
      <c r="V88" s="69">
        <v>608481</v>
      </c>
      <c r="W88" s="69"/>
      <c r="X88" s="69"/>
      <c r="Y88" s="69"/>
      <c r="Z88" s="69">
        <v>220000</v>
      </c>
      <c r="AA88" s="67"/>
    </row>
    <row r="89" spans="1:27" x14ac:dyDescent="0.25">
      <c r="A89" s="57" t="s">
        <v>87</v>
      </c>
      <c r="B89" s="321" t="s">
        <v>84</v>
      </c>
      <c r="C89" s="322"/>
      <c r="D89" s="323"/>
      <c r="E89" s="98" t="s">
        <v>73</v>
      </c>
      <c r="F89" s="99">
        <v>400</v>
      </c>
      <c r="G89" s="77">
        <v>1075.7</v>
      </c>
      <c r="H89" s="78">
        <f>G89*F89</f>
        <v>430280</v>
      </c>
      <c r="I89" s="77">
        <v>95</v>
      </c>
      <c r="J89" s="78">
        <v>830894</v>
      </c>
      <c r="K89" s="100">
        <v>150</v>
      </c>
      <c r="L89" s="99">
        <f>K88*K89</f>
        <v>57240</v>
      </c>
      <c r="M89" s="77">
        <v>-7</v>
      </c>
      <c r="N89" s="78">
        <v>53233.2</v>
      </c>
      <c r="O89" s="101">
        <v>150</v>
      </c>
      <c r="P89" s="99">
        <f>O89*O88</f>
        <v>39300</v>
      </c>
      <c r="Q89" s="101">
        <v>9</v>
      </c>
      <c r="R89" s="99">
        <v>42837</v>
      </c>
      <c r="S89" s="69"/>
      <c r="T89" s="69">
        <v>700</v>
      </c>
      <c r="U89" s="69"/>
      <c r="V89" s="69">
        <v>1263060</v>
      </c>
      <c r="W89" s="69">
        <v>654.20000000000005</v>
      </c>
      <c r="X89" s="69">
        <v>250</v>
      </c>
      <c r="Y89" s="69"/>
      <c r="Z89" s="69">
        <f>W89*X89</f>
        <v>163550</v>
      </c>
      <c r="AA89" s="67"/>
    </row>
    <row r="90" spans="1:27" x14ac:dyDescent="0.25">
      <c r="A90" s="56" t="s">
        <v>89</v>
      </c>
      <c r="B90" s="314" t="s">
        <v>86</v>
      </c>
      <c r="C90" s="315"/>
      <c r="D90" s="316"/>
      <c r="E90" s="98" t="s">
        <v>73</v>
      </c>
      <c r="F90" s="74">
        <v>1190</v>
      </c>
      <c r="G90" s="69">
        <v>260</v>
      </c>
      <c r="H90" s="71">
        <f>F90*G90</f>
        <v>309400</v>
      </c>
      <c r="I90" s="69"/>
      <c r="J90" s="75">
        <v>310000</v>
      </c>
      <c r="K90" s="74">
        <v>60</v>
      </c>
      <c r="L90" s="75">
        <f>K90*F90</f>
        <v>71400</v>
      </c>
      <c r="M90" s="74">
        <v>95</v>
      </c>
      <c r="N90" s="75">
        <v>140000</v>
      </c>
      <c r="O90" s="74">
        <v>24</v>
      </c>
      <c r="P90" s="75">
        <f>O90*F90</f>
        <v>28560</v>
      </c>
      <c r="Q90" s="74">
        <v>330</v>
      </c>
      <c r="R90" s="75">
        <v>125000</v>
      </c>
      <c r="S90" s="69">
        <v>8160</v>
      </c>
      <c r="T90" s="69">
        <v>86</v>
      </c>
      <c r="U90" s="69"/>
      <c r="V90" s="69">
        <v>700000</v>
      </c>
      <c r="W90" s="69"/>
      <c r="X90" s="69"/>
      <c r="Y90" s="69"/>
      <c r="Z90" s="69">
        <v>47300</v>
      </c>
      <c r="AA90" s="67"/>
    </row>
    <row r="91" spans="1:27" x14ac:dyDescent="0.25">
      <c r="A91" s="56" t="s">
        <v>91</v>
      </c>
      <c r="B91" s="314" t="s">
        <v>88</v>
      </c>
      <c r="C91" s="315"/>
      <c r="D91" s="316"/>
      <c r="E91" s="98" t="s">
        <v>73</v>
      </c>
      <c r="F91" s="74" t="s">
        <v>124</v>
      </c>
      <c r="G91" s="69">
        <v>1075.7</v>
      </c>
      <c r="H91" s="71">
        <f>700*G91</f>
        <v>752990</v>
      </c>
      <c r="I91" s="69">
        <v>11</v>
      </c>
      <c r="J91" s="75">
        <v>837396</v>
      </c>
      <c r="K91" s="74">
        <v>381.6</v>
      </c>
      <c r="L91" s="75">
        <f>K91*200</f>
        <v>76320</v>
      </c>
      <c r="M91" s="74">
        <v>-18</v>
      </c>
      <c r="N91" s="75">
        <v>62680</v>
      </c>
      <c r="O91" s="74">
        <v>262</v>
      </c>
      <c r="P91" s="75">
        <f>O91*200</f>
        <v>52400</v>
      </c>
      <c r="Q91" s="74"/>
      <c r="R91" s="75">
        <v>54000</v>
      </c>
      <c r="S91" s="69"/>
      <c r="T91" s="69">
        <v>72</v>
      </c>
      <c r="U91" s="69"/>
      <c r="V91" s="69">
        <v>590000</v>
      </c>
      <c r="W91" s="69"/>
      <c r="X91" s="69"/>
      <c r="Y91" s="69"/>
      <c r="Z91" s="69">
        <v>120000</v>
      </c>
      <c r="AA91" s="67"/>
    </row>
    <row r="92" spans="1:27" x14ac:dyDescent="0.25">
      <c r="A92" s="56" t="s">
        <v>93</v>
      </c>
      <c r="B92" s="292" t="s">
        <v>90</v>
      </c>
      <c r="C92" s="293"/>
      <c r="D92" s="294"/>
      <c r="E92" s="98" t="s">
        <v>73</v>
      </c>
      <c r="F92" s="74"/>
      <c r="G92" s="69"/>
      <c r="H92" s="67"/>
      <c r="I92" s="69"/>
      <c r="J92" s="71">
        <v>37167</v>
      </c>
      <c r="K92" s="74"/>
      <c r="L92" s="75"/>
      <c r="M92" s="74"/>
      <c r="N92" s="75">
        <v>253321</v>
      </c>
      <c r="O92" s="74"/>
      <c r="P92" s="75"/>
      <c r="Q92" s="74"/>
      <c r="R92" s="75">
        <v>33496</v>
      </c>
      <c r="S92" s="69"/>
      <c r="T92" s="69"/>
      <c r="U92" s="69"/>
      <c r="V92" s="69">
        <v>267613</v>
      </c>
      <c r="W92" s="69"/>
      <c r="X92" s="69"/>
      <c r="Y92" s="69"/>
      <c r="Z92" s="69">
        <v>3894</v>
      </c>
      <c r="AA92" s="67"/>
    </row>
    <row r="93" spans="1:27" x14ac:dyDescent="0.25">
      <c r="A93" s="56">
        <v>11</v>
      </c>
      <c r="B93" s="295" t="s">
        <v>95</v>
      </c>
      <c r="C93" s="295"/>
      <c r="D93" s="295"/>
      <c r="E93" s="98" t="s">
        <v>73</v>
      </c>
      <c r="F93" s="74">
        <v>1150</v>
      </c>
      <c r="G93" s="69">
        <v>260</v>
      </c>
      <c r="H93" s="71">
        <f>1150*260</f>
        <v>299000</v>
      </c>
      <c r="I93" s="69"/>
      <c r="J93" s="71">
        <v>300000</v>
      </c>
      <c r="K93" s="74">
        <v>60</v>
      </c>
      <c r="L93" s="75">
        <f>F92:F93*K93</f>
        <v>69000</v>
      </c>
      <c r="M93" s="69">
        <v>-27</v>
      </c>
      <c r="N93" s="71">
        <v>50000</v>
      </c>
      <c r="O93" s="74">
        <v>24</v>
      </c>
      <c r="P93" s="75">
        <f>O93*F93</f>
        <v>27600</v>
      </c>
      <c r="Q93" s="74">
        <v>80</v>
      </c>
      <c r="R93" s="75">
        <v>50000</v>
      </c>
      <c r="S93" s="69"/>
      <c r="T93" s="69"/>
      <c r="U93" s="69"/>
      <c r="V93" s="69">
        <v>130000</v>
      </c>
      <c r="W93" s="69"/>
      <c r="X93" s="69"/>
      <c r="Y93" s="69"/>
      <c r="Z93" s="69">
        <v>70000</v>
      </c>
      <c r="AA93" s="67"/>
    </row>
    <row r="94" spans="1:27" x14ac:dyDescent="0.25">
      <c r="A94" s="56" t="s">
        <v>100</v>
      </c>
      <c r="B94" s="278" t="s">
        <v>104</v>
      </c>
      <c r="C94" s="279"/>
      <c r="D94" s="280"/>
      <c r="E94" s="98" t="s">
        <v>73</v>
      </c>
      <c r="F94" s="74"/>
      <c r="G94" s="69"/>
      <c r="H94" s="71"/>
      <c r="I94" s="69"/>
      <c r="J94" s="71">
        <v>20822773</v>
      </c>
      <c r="K94" s="74"/>
      <c r="L94" s="75"/>
      <c r="M94" s="69"/>
      <c r="N94" s="71">
        <v>4423522</v>
      </c>
      <c r="O94" s="74"/>
      <c r="P94" s="75"/>
      <c r="Q94" s="74"/>
      <c r="R94" s="75">
        <v>3094600</v>
      </c>
      <c r="S94" s="69"/>
      <c r="T94" s="69"/>
      <c r="U94" s="69"/>
      <c r="V94" s="69">
        <v>27271761</v>
      </c>
      <c r="W94" s="69"/>
      <c r="X94" s="69"/>
      <c r="Y94" s="69"/>
      <c r="Z94" s="69">
        <v>6781765</v>
      </c>
      <c r="AA94" s="67"/>
    </row>
    <row r="95" spans="1:27" x14ac:dyDescent="0.25">
      <c r="A95" s="56" t="s">
        <v>101</v>
      </c>
      <c r="B95" s="278" t="s">
        <v>111</v>
      </c>
      <c r="C95" s="279"/>
      <c r="D95" s="280"/>
      <c r="E95" s="98" t="s">
        <v>73</v>
      </c>
      <c r="F95" s="75"/>
      <c r="G95" s="69"/>
      <c r="H95" s="71"/>
      <c r="I95" s="69"/>
      <c r="J95" s="71">
        <v>128300</v>
      </c>
      <c r="K95" s="74"/>
      <c r="L95" s="75"/>
      <c r="M95" s="69"/>
      <c r="N95" s="71">
        <v>75000</v>
      </c>
      <c r="O95" s="74"/>
      <c r="P95" s="75"/>
      <c r="Q95" s="74"/>
      <c r="R95" s="75">
        <v>80000</v>
      </c>
      <c r="S95" s="69"/>
      <c r="T95" s="69"/>
      <c r="U95" s="69"/>
      <c r="V95" s="69">
        <v>677555</v>
      </c>
      <c r="W95" s="69"/>
      <c r="X95" s="69"/>
      <c r="Y95" s="69"/>
      <c r="Z95" s="69">
        <v>105000</v>
      </c>
      <c r="AA95" s="67"/>
    </row>
    <row r="96" spans="1:27" x14ac:dyDescent="0.25">
      <c r="A96" s="102"/>
      <c r="B96" s="345" t="s">
        <v>112</v>
      </c>
      <c r="C96" s="346"/>
      <c r="D96" s="347"/>
      <c r="E96" s="80"/>
      <c r="F96" s="81"/>
      <c r="G96" s="80"/>
      <c r="H96" s="81"/>
      <c r="I96" s="80"/>
      <c r="J96" s="81">
        <f>SUM(J83:J95)</f>
        <v>25177502</v>
      </c>
      <c r="K96" s="80"/>
      <c r="L96" s="81"/>
      <c r="M96" s="80"/>
      <c r="N96" s="81">
        <f>SUM(N83:N95)</f>
        <v>5676090.2000000002</v>
      </c>
      <c r="O96" s="80"/>
      <c r="P96" s="81"/>
      <c r="Q96" s="80"/>
      <c r="R96" s="81">
        <f>SUM(R83:R95)</f>
        <v>3906008</v>
      </c>
      <c r="S96" s="80"/>
      <c r="T96" s="80"/>
      <c r="U96" s="80"/>
      <c r="V96" s="80">
        <f>SUM(V83:V95)</f>
        <v>34584903</v>
      </c>
      <c r="W96" s="80"/>
      <c r="X96" s="80"/>
      <c r="Y96" s="80"/>
      <c r="Z96" s="80">
        <f>SUM(Z83:Z95)</f>
        <v>8316405</v>
      </c>
      <c r="AA96" s="67"/>
    </row>
    <row r="97" spans="1:27" x14ac:dyDescent="0.25">
      <c r="A97" s="67"/>
      <c r="B97" s="67"/>
      <c r="C97" s="67" t="s">
        <v>125</v>
      </c>
      <c r="D97" s="67"/>
      <c r="E97" s="67"/>
      <c r="F97" s="67"/>
      <c r="G97" s="67"/>
      <c r="H97" s="67"/>
      <c r="I97" s="67"/>
      <c r="J97" s="97">
        <f>(J90+J93)/260</f>
        <v>2346.1538461538462</v>
      </c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97">
        <f>V96/8160</f>
        <v>4238.3459558823533</v>
      </c>
      <c r="W97" s="67" t="s">
        <v>133</v>
      </c>
      <c r="X97" s="67"/>
      <c r="Y97" s="67"/>
      <c r="Z97" s="67"/>
      <c r="AA97" s="67"/>
    </row>
    <row r="98" spans="1:27" x14ac:dyDescent="0.25">
      <c r="A98" s="67"/>
      <c r="B98" s="67"/>
      <c r="C98" s="67" t="s">
        <v>126</v>
      </c>
      <c r="D98" s="67"/>
      <c r="E98" s="67"/>
      <c r="F98" s="67"/>
      <c r="G98" s="67"/>
      <c r="H98" s="67"/>
      <c r="I98" s="67"/>
      <c r="J98" s="97">
        <f>(J87+J89+J91+J86)/1075.7</f>
        <v>2985.2765640977968</v>
      </c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97">
        <f>V96/73500</f>
        <v>470.54289795918368</v>
      </c>
      <c r="W98" s="67" t="s">
        <v>134</v>
      </c>
      <c r="X98" s="67"/>
      <c r="Y98" s="67"/>
      <c r="Z98" s="67"/>
      <c r="AA98" s="67"/>
    </row>
    <row r="99" spans="1:27" x14ac:dyDescent="0.25">
      <c r="A99" s="67"/>
      <c r="B99" s="67"/>
      <c r="C99" s="67" t="s">
        <v>127</v>
      </c>
      <c r="D99" s="67"/>
      <c r="E99" s="67"/>
      <c r="F99" s="67"/>
      <c r="G99" s="67"/>
      <c r="H99" s="67"/>
      <c r="I99" s="67"/>
      <c r="J99" s="97">
        <f>(J83+J84+J94+J95)/41.25</f>
        <v>516826.01212121214</v>
      </c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</row>
    <row r="100" spans="1:27" x14ac:dyDescent="0.25">
      <c r="A100" s="67"/>
      <c r="B100" s="67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</row>
    <row r="101" spans="1:27" x14ac:dyDescent="0.25">
      <c r="A101" s="67"/>
      <c r="B101" s="67"/>
      <c r="C101" s="67" t="s">
        <v>128</v>
      </c>
      <c r="D101" s="67"/>
      <c r="E101" s="67"/>
      <c r="F101" s="67"/>
      <c r="G101" s="67"/>
      <c r="H101" s="67"/>
      <c r="I101" s="67"/>
      <c r="J101" s="67">
        <f>J96/260</f>
        <v>96836.546153846153</v>
      </c>
      <c r="K101" s="67"/>
      <c r="L101" s="67"/>
      <c r="M101" s="67"/>
      <c r="N101" s="67">
        <f>N96/60</f>
        <v>94601.503333333341</v>
      </c>
      <c r="O101" s="67"/>
      <c r="P101" s="67"/>
      <c r="Q101" s="67"/>
      <c r="R101" s="67">
        <f>R96/24</f>
        <v>162750.33333333334</v>
      </c>
      <c r="S101" s="67"/>
      <c r="T101" s="67"/>
      <c r="U101" s="67"/>
      <c r="V101" s="67"/>
      <c r="W101" s="67"/>
      <c r="X101" s="67"/>
      <c r="Y101" s="67"/>
      <c r="Z101" s="67"/>
      <c r="AA101" s="67"/>
    </row>
    <row r="102" spans="1:27" x14ac:dyDescent="0.25">
      <c r="A102" s="67"/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</row>
  </sheetData>
  <mergeCells count="122">
    <mergeCell ref="B96:D96"/>
    <mergeCell ref="S81:V81"/>
    <mergeCell ref="W81:Z81"/>
    <mergeCell ref="J87:J88"/>
    <mergeCell ref="N87:N88"/>
    <mergeCell ref="R87:R88"/>
    <mergeCell ref="B91:D91"/>
    <mergeCell ref="B92:D92"/>
    <mergeCell ref="B93:D93"/>
    <mergeCell ref="B94:D94"/>
    <mergeCell ref="B95:D95"/>
    <mergeCell ref="B86:D86"/>
    <mergeCell ref="B87:D87"/>
    <mergeCell ref="B88:D88"/>
    <mergeCell ref="B89:D89"/>
    <mergeCell ref="B90:D90"/>
    <mergeCell ref="K81:N81"/>
    <mergeCell ref="O81:R81"/>
    <mergeCell ref="B83:D83"/>
    <mergeCell ref="B84:D84"/>
    <mergeCell ref="B85:D85"/>
    <mergeCell ref="AA4:AA5"/>
    <mergeCell ref="AA42:AA43"/>
    <mergeCell ref="B18:D18"/>
    <mergeCell ref="A19:D19"/>
    <mergeCell ref="A57:D57"/>
    <mergeCell ref="B55:D55"/>
    <mergeCell ref="B56:D56"/>
    <mergeCell ref="B13:D13"/>
    <mergeCell ref="B14:D14"/>
    <mergeCell ref="B15:D15"/>
    <mergeCell ref="B16:D16"/>
    <mergeCell ref="B17:D17"/>
    <mergeCell ref="R46:R47"/>
    <mergeCell ref="U46:U47"/>
    <mergeCell ref="V46:V47"/>
    <mergeCell ref="Y46:Y47"/>
    <mergeCell ref="Z46:Z47"/>
    <mergeCell ref="I46:I47"/>
    <mergeCell ref="J46:J47"/>
    <mergeCell ref="W42:Z42"/>
    <mergeCell ref="A42:A43"/>
    <mergeCell ref="B42:D43"/>
    <mergeCell ref="E42:E43"/>
    <mergeCell ref="F42:F43"/>
    <mergeCell ref="A81:A82"/>
    <mergeCell ref="B81:D82"/>
    <mergeCell ref="E81:E82"/>
    <mergeCell ref="F81:F82"/>
    <mergeCell ref="G81:J81"/>
    <mergeCell ref="O4:R4"/>
    <mergeCell ref="B12:D12"/>
    <mergeCell ref="A61:A62"/>
    <mergeCell ref="B61:D62"/>
    <mergeCell ref="B71:D71"/>
    <mergeCell ref="B72:D72"/>
    <mergeCell ref="B73:D73"/>
    <mergeCell ref="B76:D76"/>
    <mergeCell ref="B9:D9"/>
    <mergeCell ref="B10:D10"/>
    <mergeCell ref="B11:D11"/>
    <mergeCell ref="B44:D44"/>
    <mergeCell ref="B45:D45"/>
    <mergeCell ref="B46:D46"/>
    <mergeCell ref="B47:D47"/>
    <mergeCell ref="B48:D48"/>
    <mergeCell ref="A4:A5"/>
    <mergeCell ref="B4:D5"/>
    <mergeCell ref="E4:E5"/>
    <mergeCell ref="B75:D75"/>
    <mergeCell ref="B70:D70"/>
    <mergeCell ref="B65:D65"/>
    <mergeCell ref="B66:D66"/>
    <mergeCell ref="B67:D67"/>
    <mergeCell ref="B68:D68"/>
    <mergeCell ref="B69:D69"/>
    <mergeCell ref="A40:I40"/>
    <mergeCell ref="B49:D49"/>
    <mergeCell ref="B50:D50"/>
    <mergeCell ref="S4:V4"/>
    <mergeCell ref="W4:Z4"/>
    <mergeCell ref="B6:D6"/>
    <mergeCell ref="A33:I33"/>
    <mergeCell ref="A34:I34"/>
    <mergeCell ref="A35:I35"/>
    <mergeCell ref="A36:I37"/>
    <mergeCell ref="A38:I38"/>
    <mergeCell ref="A39:I39"/>
    <mergeCell ref="A23:I23"/>
    <mergeCell ref="A24:I24"/>
    <mergeCell ref="A25:I25"/>
    <mergeCell ref="A26:I26"/>
    <mergeCell ref="A27:I27"/>
    <mergeCell ref="A28:I28"/>
    <mergeCell ref="A29:I29"/>
    <mergeCell ref="A30:I30"/>
    <mergeCell ref="A32:I32"/>
    <mergeCell ref="F4:F5"/>
    <mergeCell ref="G4:J4"/>
    <mergeCell ref="K4:N4"/>
    <mergeCell ref="B7:D7"/>
    <mergeCell ref="B8:D8"/>
    <mergeCell ref="S61:S62"/>
    <mergeCell ref="B74:D74"/>
    <mergeCell ref="O61:R61"/>
    <mergeCell ref="M46:M47"/>
    <mergeCell ref="N46:N47"/>
    <mergeCell ref="Q46:Q47"/>
    <mergeCell ref="K42:N42"/>
    <mergeCell ref="O42:R42"/>
    <mergeCell ref="S42:V42"/>
    <mergeCell ref="G61:J61"/>
    <mergeCell ref="K61:N61"/>
    <mergeCell ref="B63:D63"/>
    <mergeCell ref="B64:D64"/>
    <mergeCell ref="E61:E62"/>
    <mergeCell ref="F61:F62"/>
    <mergeCell ref="B51:D51"/>
    <mergeCell ref="B52:D52"/>
    <mergeCell ref="B53:D53"/>
    <mergeCell ref="B54:D54"/>
    <mergeCell ref="G42:J42"/>
  </mergeCells>
  <pageMargins left="0.70866141732283472" right="0.70866141732283472" top="0.74803149606299213" bottom="0.74803149606299213" header="0.31496062992125984" footer="0.31496062992125984"/>
  <pageSetup paperSize="9" scale="2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2"/>
  <sheetViews>
    <sheetView workbookViewId="0">
      <selection activeCell="K24" sqref="K24"/>
    </sheetView>
  </sheetViews>
  <sheetFormatPr defaultRowHeight="15" x14ac:dyDescent="0.25"/>
  <cols>
    <col min="5" max="5" width="13" customWidth="1"/>
    <col min="6" max="6" width="12" customWidth="1"/>
    <col min="7" max="7" width="11.7109375" customWidth="1"/>
    <col min="8" max="8" width="12.140625" customWidth="1"/>
    <col min="9" max="9" width="11.140625" customWidth="1"/>
    <col min="10" max="10" width="10.5703125" customWidth="1"/>
    <col min="11" max="11" width="12.140625" customWidth="1"/>
    <col min="12" max="12" width="11" customWidth="1"/>
    <col min="13" max="13" width="11.28515625" customWidth="1"/>
    <col min="14" max="14" width="10.7109375" customWidth="1"/>
    <col min="15" max="15" width="11.42578125" customWidth="1"/>
  </cols>
  <sheetData>
    <row r="1" spans="1:23" x14ac:dyDescent="0.25">
      <c r="D1" s="33"/>
    </row>
    <row r="2" spans="1:23" ht="96" customHeight="1" x14ac:dyDescent="0.25">
      <c r="A2" s="281" t="s">
        <v>1</v>
      </c>
      <c r="B2" s="281"/>
      <c r="C2" s="281"/>
      <c r="D2" s="281" t="s">
        <v>2</v>
      </c>
      <c r="E2" s="281" t="s">
        <v>135</v>
      </c>
      <c r="F2" s="281" t="s">
        <v>136</v>
      </c>
      <c r="G2" s="281" t="s">
        <v>139</v>
      </c>
      <c r="H2" s="281"/>
      <c r="I2" s="281"/>
      <c r="J2" s="359" t="s">
        <v>137</v>
      </c>
      <c r="K2" s="359"/>
      <c r="L2" s="359"/>
      <c r="M2" s="359"/>
      <c r="N2" s="359"/>
      <c r="O2" s="13"/>
    </row>
    <row r="3" spans="1:23" ht="28.5" customHeight="1" x14ac:dyDescent="0.25">
      <c r="A3" s="281"/>
      <c r="B3" s="281"/>
      <c r="C3" s="281"/>
      <c r="D3" s="281"/>
      <c r="E3" s="281"/>
      <c r="F3" s="281"/>
      <c r="G3" s="47" t="s">
        <v>150</v>
      </c>
      <c r="H3" s="47" t="s">
        <v>151</v>
      </c>
      <c r="I3" s="47" t="s">
        <v>152</v>
      </c>
      <c r="J3" s="47" t="s">
        <v>153</v>
      </c>
      <c r="K3" s="47" t="s">
        <v>154</v>
      </c>
      <c r="L3" s="47" t="s">
        <v>155</v>
      </c>
      <c r="M3" s="47" t="s">
        <v>156</v>
      </c>
      <c r="N3" s="47" t="s">
        <v>157</v>
      </c>
      <c r="O3" s="13"/>
    </row>
    <row r="4" spans="1:23" x14ac:dyDescent="0.25">
      <c r="A4" s="295" t="s">
        <v>10</v>
      </c>
      <c r="B4" s="295"/>
      <c r="C4" s="295"/>
      <c r="D4" s="68" t="s">
        <v>9</v>
      </c>
      <c r="E4" s="69">
        <v>1.5</v>
      </c>
      <c r="F4" s="69">
        <v>2.2999999999999998</v>
      </c>
      <c r="G4" s="56">
        <v>2.3E-2</v>
      </c>
      <c r="H4" s="51">
        <v>2.3E-2</v>
      </c>
      <c r="I4" s="51">
        <v>2.8000000000000001E-2</v>
      </c>
      <c r="J4" s="51">
        <v>2.4E-2</v>
      </c>
      <c r="K4" s="51">
        <v>2.5999999999999999E-2</v>
      </c>
      <c r="L4" s="51">
        <v>3.2000000000000001E-2</v>
      </c>
      <c r="M4" s="103" t="s">
        <v>158</v>
      </c>
      <c r="N4" s="51">
        <v>2.4E-2</v>
      </c>
      <c r="O4" s="39"/>
    </row>
    <row r="5" spans="1:23" x14ac:dyDescent="0.25">
      <c r="A5" s="295" t="s">
        <v>138</v>
      </c>
      <c r="B5" s="295"/>
      <c r="C5" s="295"/>
      <c r="D5" s="73" t="s">
        <v>160</v>
      </c>
      <c r="E5" s="69">
        <v>300</v>
      </c>
      <c r="F5" s="69">
        <v>500</v>
      </c>
      <c r="G5" s="69">
        <v>18</v>
      </c>
      <c r="H5" s="51">
        <v>18</v>
      </c>
      <c r="I5" s="51">
        <v>18</v>
      </c>
      <c r="J5" s="51">
        <v>18</v>
      </c>
      <c r="K5" s="51">
        <v>18</v>
      </c>
      <c r="L5" s="51">
        <v>18</v>
      </c>
      <c r="M5" s="51">
        <v>18</v>
      </c>
      <c r="N5" s="51">
        <v>18</v>
      </c>
      <c r="O5" s="9"/>
    </row>
    <row r="6" spans="1:23" x14ac:dyDescent="0.25">
      <c r="A6" s="295" t="s">
        <v>21</v>
      </c>
      <c r="B6" s="295"/>
      <c r="C6" s="295"/>
      <c r="D6" s="68" t="s">
        <v>22</v>
      </c>
      <c r="E6" s="69">
        <v>2.2000000000000002</v>
      </c>
      <c r="F6" s="56" t="s">
        <v>141</v>
      </c>
      <c r="G6" s="56" t="s">
        <v>140</v>
      </c>
      <c r="H6" s="51">
        <v>12</v>
      </c>
      <c r="I6" s="51">
        <v>12</v>
      </c>
      <c r="J6" s="49" t="s">
        <v>159</v>
      </c>
      <c r="K6" s="49" t="s">
        <v>159</v>
      </c>
      <c r="L6" s="49" t="s">
        <v>159</v>
      </c>
      <c r="M6" s="49" t="s">
        <v>159</v>
      </c>
      <c r="N6" s="51">
        <v>12</v>
      </c>
      <c r="O6" s="40"/>
    </row>
    <row r="7" spans="1:23" x14ac:dyDescent="0.25">
      <c r="A7" s="295" t="s">
        <v>24</v>
      </c>
      <c r="B7" s="295"/>
      <c r="C7" s="295"/>
      <c r="D7" s="68" t="s">
        <v>22</v>
      </c>
      <c r="E7" s="69">
        <v>2.2000000000000002</v>
      </c>
      <c r="F7" s="56" t="s">
        <v>142</v>
      </c>
      <c r="G7" s="56" t="s">
        <v>140</v>
      </c>
      <c r="H7" s="51">
        <v>12</v>
      </c>
      <c r="I7" s="51">
        <v>12</v>
      </c>
      <c r="J7" s="49" t="s">
        <v>159</v>
      </c>
      <c r="K7" s="49" t="s">
        <v>159</v>
      </c>
      <c r="L7" s="49" t="s">
        <v>159</v>
      </c>
      <c r="M7" s="49" t="s">
        <v>159</v>
      </c>
      <c r="N7" s="51">
        <v>12</v>
      </c>
      <c r="O7" s="40"/>
    </row>
    <row r="8" spans="1:23" ht="15" customHeight="1" x14ac:dyDescent="0.25">
      <c r="A8" s="295" t="s">
        <v>143</v>
      </c>
      <c r="B8" s="295"/>
      <c r="C8" s="295"/>
      <c r="D8" s="68" t="s">
        <v>22</v>
      </c>
      <c r="E8" s="69">
        <v>0.25</v>
      </c>
      <c r="F8" s="69">
        <v>0.5</v>
      </c>
      <c r="G8" s="69">
        <v>0.25</v>
      </c>
      <c r="H8" s="51">
        <v>0.25</v>
      </c>
      <c r="I8" s="51">
        <v>0.25</v>
      </c>
      <c r="J8" s="51">
        <v>0.25</v>
      </c>
      <c r="K8" s="51">
        <v>0.25</v>
      </c>
      <c r="L8" s="51">
        <v>0.25</v>
      </c>
      <c r="M8" s="51">
        <v>0.17</v>
      </c>
      <c r="N8" s="51">
        <v>0.17</v>
      </c>
      <c r="O8" s="9"/>
    </row>
    <row r="9" spans="1:23" x14ac:dyDescent="0.25">
      <c r="A9" s="54" t="s">
        <v>163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P9" s="360"/>
      <c r="Q9" s="360"/>
      <c r="R9" s="360"/>
      <c r="S9" s="361"/>
      <c r="T9" s="361"/>
      <c r="U9" s="361"/>
      <c r="V9" s="361"/>
      <c r="W9" s="361"/>
    </row>
    <row r="10" spans="1:23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P10" s="13"/>
      <c r="Q10" s="13"/>
      <c r="R10" s="13"/>
      <c r="S10" s="42"/>
      <c r="T10" s="42"/>
      <c r="U10" s="42"/>
      <c r="V10" s="42"/>
      <c r="W10" s="42"/>
    </row>
    <row r="11" spans="1:23" ht="94.5" customHeight="1" x14ac:dyDescent="0.25">
      <c r="A11" s="353" t="s">
        <v>144</v>
      </c>
      <c r="B11" s="354"/>
      <c r="C11" s="355"/>
      <c r="D11" s="362" t="s">
        <v>2</v>
      </c>
      <c r="E11" s="362" t="s">
        <v>135</v>
      </c>
      <c r="F11" s="362" t="s">
        <v>136</v>
      </c>
      <c r="G11" s="281" t="s">
        <v>161</v>
      </c>
      <c r="H11" s="281"/>
      <c r="I11" s="281"/>
      <c r="J11" s="359" t="s">
        <v>162</v>
      </c>
      <c r="K11" s="359"/>
      <c r="L11" s="359"/>
      <c r="M11" s="359"/>
      <c r="N11" s="359"/>
    </row>
    <row r="12" spans="1:23" ht="33" customHeight="1" x14ac:dyDescent="0.25">
      <c r="A12" s="356"/>
      <c r="B12" s="357"/>
      <c r="C12" s="358"/>
      <c r="D12" s="363"/>
      <c r="E12" s="363"/>
      <c r="F12" s="363"/>
      <c r="G12" s="47" t="s">
        <v>150</v>
      </c>
      <c r="H12" s="47" t="s">
        <v>151</v>
      </c>
      <c r="I12" s="47" t="s">
        <v>152</v>
      </c>
      <c r="J12" s="47" t="s">
        <v>153</v>
      </c>
      <c r="K12" s="47" t="s">
        <v>154</v>
      </c>
      <c r="L12" s="47" t="s">
        <v>155</v>
      </c>
      <c r="M12" s="47" t="s">
        <v>156</v>
      </c>
      <c r="N12" s="47" t="s">
        <v>157</v>
      </c>
    </row>
    <row r="13" spans="1:23" ht="15" customHeight="1" x14ac:dyDescent="0.25">
      <c r="A13" s="287" t="s">
        <v>145</v>
      </c>
      <c r="B13" s="288"/>
      <c r="C13" s="289"/>
      <c r="D13" s="50" t="s">
        <v>73</v>
      </c>
      <c r="E13" s="51">
        <v>2600</v>
      </c>
      <c r="F13" s="51">
        <v>2600</v>
      </c>
      <c r="G13" s="49">
        <v>3000</v>
      </c>
      <c r="H13" s="51">
        <v>1000</v>
      </c>
      <c r="I13" s="51">
        <v>1000</v>
      </c>
      <c r="J13" s="51">
        <v>5980</v>
      </c>
      <c r="K13" s="51">
        <v>5980</v>
      </c>
      <c r="L13" s="51">
        <v>5980</v>
      </c>
      <c r="M13" s="51">
        <v>35000</v>
      </c>
      <c r="N13" s="51">
        <v>35000</v>
      </c>
    </row>
    <row r="14" spans="1:23" x14ac:dyDescent="0.25">
      <c r="A14" s="287" t="s">
        <v>146</v>
      </c>
      <c r="B14" s="288"/>
      <c r="C14" s="289"/>
      <c r="D14" s="50" t="s">
        <v>73</v>
      </c>
      <c r="E14" s="51">
        <v>230</v>
      </c>
      <c r="F14" s="51"/>
      <c r="G14" s="103">
        <v>1100</v>
      </c>
      <c r="H14" s="51">
        <v>260</v>
      </c>
      <c r="I14" s="51">
        <v>450</v>
      </c>
      <c r="J14" s="51">
        <v>2100</v>
      </c>
      <c r="K14" s="51">
        <v>2100</v>
      </c>
      <c r="L14" s="51">
        <v>2100</v>
      </c>
      <c r="M14" s="51">
        <v>5</v>
      </c>
      <c r="N14" s="51">
        <v>29</v>
      </c>
    </row>
    <row r="15" spans="1:23" ht="31.5" customHeight="1" x14ac:dyDescent="0.25">
      <c r="A15" s="317" t="s">
        <v>147</v>
      </c>
      <c r="B15" s="318"/>
      <c r="C15" s="319"/>
      <c r="D15" s="50" t="s">
        <v>73</v>
      </c>
      <c r="E15" s="51">
        <v>1150</v>
      </c>
      <c r="F15" s="63">
        <v>1180</v>
      </c>
      <c r="G15" s="104">
        <v>3.3</v>
      </c>
      <c r="H15" s="51">
        <v>0.48</v>
      </c>
      <c r="I15" s="51">
        <v>0.67</v>
      </c>
      <c r="J15" s="51">
        <v>300</v>
      </c>
      <c r="K15" s="51">
        <v>300</v>
      </c>
      <c r="L15" s="51">
        <v>300</v>
      </c>
      <c r="M15" s="51">
        <v>400</v>
      </c>
      <c r="N15" s="51">
        <v>80</v>
      </c>
    </row>
    <row r="16" spans="1:23" x14ac:dyDescent="0.25">
      <c r="A16" s="287" t="s">
        <v>148</v>
      </c>
      <c r="B16" s="288"/>
      <c r="C16" s="289"/>
      <c r="D16" s="50" t="s">
        <v>73</v>
      </c>
      <c r="E16" s="51">
        <v>2300</v>
      </c>
      <c r="F16" s="49">
        <v>3480</v>
      </c>
      <c r="G16" s="105">
        <v>4.9000000000000004</v>
      </c>
      <c r="H16" s="51">
        <v>0.73</v>
      </c>
      <c r="I16" s="51">
        <v>1.9</v>
      </c>
      <c r="J16" s="51">
        <v>250</v>
      </c>
      <c r="K16" s="51">
        <v>250</v>
      </c>
      <c r="L16" s="51">
        <v>200</v>
      </c>
      <c r="M16" s="51">
        <v>400</v>
      </c>
      <c r="N16" s="51">
        <v>255</v>
      </c>
    </row>
    <row r="17" spans="1:14" x14ac:dyDescent="0.25">
      <c r="A17" s="287" t="s">
        <v>111</v>
      </c>
      <c r="B17" s="288"/>
      <c r="C17" s="289"/>
      <c r="D17" s="50" t="s">
        <v>73</v>
      </c>
      <c r="E17" s="51"/>
      <c r="F17" s="51"/>
      <c r="G17" s="51">
        <v>2.37</v>
      </c>
      <c r="H17" s="51">
        <v>0.31</v>
      </c>
      <c r="I17" s="51">
        <v>0.32</v>
      </c>
      <c r="J17" s="51">
        <v>495</v>
      </c>
      <c r="K17" s="51">
        <v>1250</v>
      </c>
      <c r="L17" s="51">
        <v>3333</v>
      </c>
      <c r="M17" s="51">
        <v>9.2200000000000006</v>
      </c>
      <c r="N17" s="51">
        <v>37.5</v>
      </c>
    </row>
    <row r="18" spans="1:14" x14ac:dyDescent="0.25">
      <c r="A18" s="287" t="s">
        <v>84</v>
      </c>
      <c r="B18" s="288"/>
      <c r="C18" s="289"/>
      <c r="D18" s="50" t="s">
        <v>73</v>
      </c>
      <c r="E18" s="51">
        <v>2100</v>
      </c>
      <c r="F18" s="51">
        <v>2500</v>
      </c>
      <c r="G18" s="51">
        <v>7.28</v>
      </c>
      <c r="H18" s="51">
        <v>1.1299999999999999</v>
      </c>
      <c r="I18" s="51">
        <v>1.67</v>
      </c>
      <c r="J18" s="51">
        <v>400</v>
      </c>
      <c r="K18" s="51">
        <v>150</v>
      </c>
      <c r="L18" s="51">
        <v>150</v>
      </c>
      <c r="M18" s="51">
        <v>700</v>
      </c>
      <c r="N18" s="51">
        <v>250</v>
      </c>
    </row>
    <row r="19" spans="1:14" x14ac:dyDescent="0.25">
      <c r="A19" s="287" t="s">
        <v>86</v>
      </c>
      <c r="B19" s="288"/>
      <c r="C19" s="289"/>
      <c r="D19" s="50" t="s">
        <v>73</v>
      </c>
      <c r="E19" s="51">
        <v>120</v>
      </c>
      <c r="F19" s="51">
        <v>1000</v>
      </c>
      <c r="G19" s="51">
        <v>9.1</v>
      </c>
      <c r="H19" s="51">
        <v>1.08</v>
      </c>
      <c r="I19" s="51">
        <v>0.33</v>
      </c>
      <c r="J19" s="51">
        <v>1190</v>
      </c>
      <c r="K19" s="51">
        <v>1190</v>
      </c>
      <c r="L19" s="51">
        <v>1190</v>
      </c>
      <c r="M19" s="51">
        <v>9.52</v>
      </c>
      <c r="N19" s="51">
        <v>17</v>
      </c>
    </row>
    <row r="20" spans="1:14" x14ac:dyDescent="0.25">
      <c r="A20" s="287" t="s">
        <v>88</v>
      </c>
      <c r="B20" s="288"/>
      <c r="C20" s="289"/>
      <c r="D20" s="50" t="s">
        <v>73</v>
      </c>
      <c r="E20" s="51">
        <v>1800</v>
      </c>
      <c r="F20" s="51">
        <v>2500</v>
      </c>
      <c r="G20" s="51">
        <v>7.28</v>
      </c>
      <c r="H20" s="51">
        <v>0.98</v>
      </c>
      <c r="I20" s="51">
        <v>1.58</v>
      </c>
      <c r="J20" s="51">
        <v>700</v>
      </c>
      <c r="K20" s="51">
        <v>200</v>
      </c>
      <c r="L20" s="51">
        <v>200</v>
      </c>
      <c r="M20" s="51">
        <v>8.0299999999999994</v>
      </c>
      <c r="N20" s="51">
        <v>43</v>
      </c>
    </row>
    <row r="21" spans="1:14" x14ac:dyDescent="0.25">
      <c r="A21" s="320" t="s">
        <v>149</v>
      </c>
      <c r="B21" s="320"/>
      <c r="C21" s="320"/>
      <c r="D21" s="50" t="s">
        <v>73</v>
      </c>
      <c r="E21" s="51">
        <v>100</v>
      </c>
      <c r="F21" s="51">
        <v>100</v>
      </c>
      <c r="G21" s="51">
        <v>2.71</v>
      </c>
      <c r="H21" s="51">
        <v>1.35</v>
      </c>
      <c r="I21" s="51">
        <v>3.35</v>
      </c>
      <c r="J21" s="51">
        <v>1150</v>
      </c>
      <c r="K21" s="51">
        <v>1150</v>
      </c>
      <c r="L21" s="51">
        <v>1150</v>
      </c>
      <c r="M21" s="51">
        <v>1.8</v>
      </c>
      <c r="N21" s="51">
        <v>25</v>
      </c>
    </row>
    <row r="22" spans="1:14" ht="15.75" customHeight="1" x14ac:dyDescent="0.25">
      <c r="A22" s="106"/>
      <c r="B22" s="106"/>
      <c r="C22" s="106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</row>
  </sheetData>
  <mergeCells count="28">
    <mergeCell ref="P9:R9"/>
    <mergeCell ref="S9:W9"/>
    <mergeCell ref="G11:I11"/>
    <mergeCell ref="J11:N11"/>
    <mergeCell ref="D11:D12"/>
    <mergeCell ref="E11:E12"/>
    <mergeCell ref="F11:F12"/>
    <mergeCell ref="J2:N2"/>
    <mergeCell ref="G2:I2"/>
    <mergeCell ref="A2:C3"/>
    <mergeCell ref="D2:D3"/>
    <mergeCell ref="E2:E3"/>
    <mergeCell ref="F2:F3"/>
    <mergeCell ref="A4:C4"/>
    <mergeCell ref="A5:C5"/>
    <mergeCell ref="A6:C6"/>
    <mergeCell ref="A7:C7"/>
    <mergeCell ref="A8:C8"/>
    <mergeCell ref="A13:C13"/>
    <mergeCell ref="A14:C14"/>
    <mergeCell ref="A15:C15"/>
    <mergeCell ref="A21:C21"/>
    <mergeCell ref="A11:C12"/>
    <mergeCell ref="A16:C16"/>
    <mergeCell ref="A17:C17"/>
    <mergeCell ref="A18:C18"/>
    <mergeCell ref="A19:C19"/>
    <mergeCell ref="A20:C20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95"/>
  <sheetViews>
    <sheetView workbookViewId="0">
      <selection activeCell="J48" sqref="J48"/>
    </sheetView>
  </sheetViews>
  <sheetFormatPr defaultRowHeight="15" x14ac:dyDescent="0.25"/>
  <cols>
    <col min="6" max="6" width="5.7109375" customWidth="1"/>
    <col min="7" max="7" width="6.5703125" customWidth="1"/>
    <col min="8" max="8" width="2.85546875" customWidth="1"/>
    <col min="9" max="9" width="5.5703125" customWidth="1"/>
    <col min="10" max="10" width="11.140625" customWidth="1"/>
    <col min="11" max="11" width="10.7109375" customWidth="1"/>
    <col min="12" max="12" width="11.140625" customWidth="1"/>
    <col min="13" max="13" width="10.5703125" customWidth="1"/>
    <col min="14" max="15" width="10.28515625" customWidth="1"/>
    <col min="16" max="16" width="10.5703125" bestFit="1" customWidth="1"/>
  </cols>
  <sheetData>
    <row r="1" spans="1:15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 t="s">
        <v>213</v>
      </c>
      <c r="O1" s="9" t="s">
        <v>212</v>
      </c>
    </row>
    <row r="2" spans="1:15" ht="30" x14ac:dyDescent="0.25">
      <c r="A2" s="376" t="s">
        <v>190</v>
      </c>
      <c r="B2" s="377"/>
      <c r="C2" s="377"/>
      <c r="D2" s="377"/>
      <c r="E2" s="377"/>
      <c r="F2" s="377"/>
      <c r="G2" s="377"/>
      <c r="H2" s="377"/>
      <c r="I2" s="378"/>
      <c r="J2" s="46" t="s">
        <v>185</v>
      </c>
      <c r="K2" s="46" t="s">
        <v>186</v>
      </c>
      <c r="L2" s="24" t="s">
        <v>187</v>
      </c>
      <c r="M2" s="46" t="s">
        <v>188</v>
      </c>
      <c r="N2" s="46" t="s">
        <v>189</v>
      </c>
      <c r="O2" s="46" t="s">
        <v>183</v>
      </c>
    </row>
    <row r="3" spans="1:15" x14ac:dyDescent="0.25">
      <c r="A3" s="376" t="s">
        <v>170</v>
      </c>
      <c r="B3" s="377"/>
      <c r="C3" s="377"/>
      <c r="D3" s="377"/>
      <c r="E3" s="377"/>
      <c r="F3" s="377"/>
      <c r="G3" s="377"/>
      <c r="H3" s="377"/>
      <c r="I3" s="378"/>
      <c r="J3" s="7"/>
      <c r="K3" s="7"/>
      <c r="L3" s="7"/>
      <c r="M3" s="7"/>
      <c r="N3" s="7"/>
      <c r="O3" s="7"/>
    </row>
    <row r="4" spans="1:15" ht="30.75" customHeight="1" x14ac:dyDescent="0.25">
      <c r="A4" s="373" t="s">
        <v>178</v>
      </c>
      <c r="B4" s="374"/>
      <c r="C4" s="374"/>
      <c r="D4" s="374"/>
      <c r="E4" s="374"/>
      <c r="F4" s="374"/>
      <c r="G4" s="374"/>
      <c r="H4" s="374"/>
      <c r="I4" s="375"/>
      <c r="J4" s="7"/>
      <c r="K4" s="7"/>
      <c r="L4" s="7"/>
      <c r="M4" s="7"/>
      <c r="N4" s="7"/>
      <c r="O4" s="7"/>
    </row>
    <row r="5" spans="1:15" x14ac:dyDescent="0.25">
      <c r="A5" s="274" t="s">
        <v>176</v>
      </c>
      <c r="B5" s="369"/>
      <c r="C5" s="369"/>
      <c r="D5" s="369"/>
      <c r="E5" s="369"/>
      <c r="F5" s="369"/>
      <c r="G5" s="369"/>
      <c r="H5" s="369"/>
      <c r="I5" s="275"/>
      <c r="J5" s="35">
        <f>100000+1463400+1479600+638222</f>
        <v>3681222</v>
      </c>
      <c r="K5" s="35">
        <f>36000+540000+723600</f>
        <v>1299600</v>
      </c>
      <c r="L5" s="35">
        <f>33120+496800+460800</f>
        <v>990720</v>
      </c>
      <c r="M5" s="35">
        <f>14880+200000+72000+93283</f>
        <v>380163</v>
      </c>
      <c r="N5" s="35">
        <f>16000+299800+216000+240293</f>
        <v>772093</v>
      </c>
      <c r="O5" s="35">
        <f>SUM(J5:N5)</f>
        <v>7123798</v>
      </c>
    </row>
    <row r="6" spans="1:15" x14ac:dyDescent="0.25">
      <c r="A6" s="274" t="s">
        <v>175</v>
      </c>
      <c r="B6" s="369"/>
      <c r="C6" s="369"/>
      <c r="D6" s="369"/>
      <c r="E6" s="369"/>
      <c r="F6" s="369"/>
      <c r="G6" s="369"/>
      <c r="H6" s="369"/>
      <c r="I6" s="275"/>
      <c r="J6" s="35">
        <f>2092922+182962+81300+227700</f>
        <v>2584884</v>
      </c>
      <c r="K6" s="35">
        <f>923520+102518+30000+80000</f>
        <v>1136038</v>
      </c>
      <c r="L6" s="35">
        <f>968760+207036+27600+2600</f>
        <v>1205996</v>
      </c>
      <c r="M6" s="35">
        <f>271391+113518+5900+27800</f>
        <v>418609</v>
      </c>
      <c r="N6" s="35">
        <f>464237+90444+12900+38900</f>
        <v>606481</v>
      </c>
      <c r="O6" s="35">
        <f>SUM(J6:N6)</f>
        <v>5952008</v>
      </c>
    </row>
    <row r="7" spans="1:15" x14ac:dyDescent="0.25">
      <c r="A7" s="370" t="s">
        <v>177</v>
      </c>
      <c r="B7" s="371"/>
      <c r="C7" s="371"/>
      <c r="D7" s="371"/>
      <c r="E7" s="371"/>
      <c r="F7" s="371"/>
      <c r="G7" s="371"/>
      <c r="H7" s="371"/>
      <c r="I7" s="372"/>
      <c r="J7" s="35"/>
      <c r="K7" s="35"/>
      <c r="L7" s="35"/>
      <c r="M7" s="35"/>
      <c r="N7" s="35"/>
      <c r="O7" s="7"/>
    </row>
    <row r="8" spans="1:15" ht="30.75" customHeight="1" x14ac:dyDescent="0.25">
      <c r="A8" s="373" t="s">
        <v>179</v>
      </c>
      <c r="B8" s="374"/>
      <c r="C8" s="374"/>
      <c r="D8" s="374"/>
      <c r="E8" s="374"/>
      <c r="F8" s="374"/>
      <c r="G8" s="374"/>
      <c r="H8" s="374"/>
      <c r="I8" s="375"/>
      <c r="J8" s="35"/>
      <c r="K8" s="35"/>
      <c r="L8" s="35"/>
      <c r="M8" s="35"/>
      <c r="N8" s="35"/>
      <c r="O8" s="7"/>
    </row>
    <row r="9" spans="1:15" x14ac:dyDescent="0.25">
      <c r="A9" s="274" t="s">
        <v>171</v>
      </c>
      <c r="B9" s="369"/>
      <c r="C9" s="369"/>
      <c r="D9" s="369"/>
      <c r="E9" s="369"/>
      <c r="F9" s="369"/>
      <c r="G9" s="369"/>
      <c r="H9" s="369"/>
      <c r="I9" s="275"/>
      <c r="J9" s="35"/>
      <c r="K9" s="35"/>
      <c r="L9" s="35"/>
      <c r="M9" s="35"/>
      <c r="N9" s="35"/>
      <c r="O9" s="7"/>
    </row>
    <row r="10" spans="1:15" x14ac:dyDescent="0.25">
      <c r="A10" s="274" t="s">
        <v>172</v>
      </c>
      <c r="B10" s="369"/>
      <c r="C10" s="369"/>
      <c r="D10" s="369"/>
      <c r="E10" s="369"/>
      <c r="F10" s="369"/>
      <c r="G10" s="369"/>
      <c r="H10" s="369"/>
      <c r="I10" s="275"/>
      <c r="J10" s="35">
        <v>567236</v>
      </c>
      <c r="K10" s="35">
        <f>480788*90%</f>
        <v>432709.2</v>
      </c>
      <c r="L10" s="35">
        <f>1390876*90%</f>
        <v>1251788.4000000001</v>
      </c>
      <c r="M10" s="35">
        <f>267247*90%</f>
        <v>240522.30000000002</v>
      </c>
      <c r="N10" s="35">
        <f>371695*90%</f>
        <v>334525.5</v>
      </c>
      <c r="O10" s="35">
        <f>SUM(J10:N10)</f>
        <v>2826781.4</v>
      </c>
    </row>
    <row r="11" spans="1:15" x14ac:dyDescent="0.25">
      <c r="A11" s="274" t="s">
        <v>173</v>
      </c>
      <c r="B11" s="369"/>
      <c r="C11" s="369"/>
      <c r="D11" s="369"/>
      <c r="E11" s="369"/>
      <c r="F11" s="369"/>
      <c r="G11" s="369"/>
      <c r="H11" s="369"/>
      <c r="I11" s="275"/>
      <c r="J11" s="35">
        <v>1764617</v>
      </c>
      <c r="K11" s="35">
        <f>1555720*50%</f>
        <v>777860</v>
      </c>
      <c r="L11" s="35">
        <f>1375975*50%</f>
        <v>687987.5</v>
      </c>
      <c r="M11" s="35">
        <f>579808*50%</f>
        <v>289904</v>
      </c>
      <c r="N11" s="35">
        <f>1177759*50%</f>
        <v>588879.5</v>
      </c>
      <c r="O11" s="35">
        <f>SUM(J11:N11)</f>
        <v>4109248</v>
      </c>
    </row>
    <row r="12" spans="1:15" x14ac:dyDescent="0.25">
      <c r="A12" s="274" t="s">
        <v>174</v>
      </c>
      <c r="B12" s="369"/>
      <c r="C12" s="369"/>
      <c r="D12" s="369"/>
      <c r="E12" s="369"/>
      <c r="F12" s="369"/>
      <c r="G12" s="369"/>
      <c r="H12" s="369"/>
      <c r="I12" s="275"/>
      <c r="J12" s="35">
        <f>202917+309124</f>
        <v>512041</v>
      </c>
      <c r="K12" s="35">
        <f>86035+131068</f>
        <v>217103</v>
      </c>
      <c r="L12" s="35">
        <f>269878+411136</f>
        <v>681014</v>
      </c>
      <c r="M12" s="35">
        <f>29805</f>
        <v>29805</v>
      </c>
      <c r="N12" s="35">
        <f>108763+165690</f>
        <v>274453</v>
      </c>
      <c r="O12" s="35">
        <f>SUM(J12:N12)</f>
        <v>1714416</v>
      </c>
    </row>
    <row r="13" spans="1:15" x14ac:dyDescent="0.25">
      <c r="A13" s="274" t="s">
        <v>180</v>
      </c>
      <c r="B13" s="369"/>
      <c r="C13" s="369"/>
      <c r="D13" s="369"/>
      <c r="E13" s="369"/>
      <c r="F13" s="369"/>
      <c r="G13" s="369"/>
      <c r="H13" s="369"/>
      <c r="I13" s="275"/>
      <c r="J13" s="35"/>
      <c r="K13" s="35"/>
      <c r="L13" s="35"/>
      <c r="M13" s="35"/>
      <c r="N13" s="35"/>
      <c r="O13" s="7"/>
    </row>
    <row r="14" spans="1:15" x14ac:dyDescent="0.25">
      <c r="A14" s="274" t="s">
        <v>181</v>
      </c>
      <c r="B14" s="369"/>
      <c r="C14" s="369"/>
      <c r="D14" s="369"/>
      <c r="E14" s="369"/>
      <c r="F14" s="369"/>
      <c r="G14" s="369"/>
      <c r="H14" s="369"/>
      <c r="I14" s="275"/>
      <c r="J14" s="35"/>
      <c r="K14" s="35"/>
      <c r="L14" s="35"/>
      <c r="M14" s="35"/>
      <c r="N14" s="35"/>
      <c r="O14" s="7"/>
    </row>
    <row r="15" spans="1:15" x14ac:dyDescent="0.25">
      <c r="A15" s="364" t="s">
        <v>182</v>
      </c>
      <c r="B15" s="268"/>
      <c r="C15" s="268"/>
      <c r="D15" s="268"/>
      <c r="E15" s="268"/>
      <c r="F15" s="268"/>
      <c r="G15" s="268"/>
      <c r="H15" s="268"/>
      <c r="I15" s="365"/>
      <c r="J15" s="35"/>
      <c r="K15" s="35"/>
      <c r="L15" s="35"/>
      <c r="M15" s="35"/>
      <c r="N15" s="35"/>
      <c r="O15" s="7"/>
    </row>
    <row r="16" spans="1:15" x14ac:dyDescent="0.25">
      <c r="A16" s="366"/>
      <c r="B16" s="367"/>
      <c r="C16" s="367"/>
      <c r="D16" s="367"/>
      <c r="E16" s="367"/>
      <c r="F16" s="367"/>
      <c r="G16" s="367"/>
      <c r="H16" s="367"/>
      <c r="I16" s="368"/>
      <c r="J16" s="35">
        <f>500000+2359100+717000+1827643</f>
        <v>5403743</v>
      </c>
      <c r="K16" s="35">
        <f>1555720*50%+480788*10%+250000+350000</f>
        <v>1425938.8</v>
      </c>
      <c r="L16" s="35">
        <f>360000+290000+1325185+1375975*50%+1390876*10%</f>
        <v>2802260.1</v>
      </c>
      <c r="M16" s="35">
        <f>100000+80000+83973+289904+26724.7</f>
        <v>580601.69999999995</v>
      </c>
      <c r="N16" s="35">
        <f>400000+250000+825701+1177759*50%+371695*10%</f>
        <v>2101750</v>
      </c>
      <c r="O16" s="35">
        <f>SUM(J16:N16)</f>
        <v>12314293.6</v>
      </c>
    </row>
    <row r="17" spans="1:15" x14ac:dyDescent="0.25">
      <c r="A17" s="274" t="s">
        <v>175</v>
      </c>
      <c r="B17" s="369"/>
      <c r="C17" s="369"/>
      <c r="D17" s="369"/>
      <c r="E17" s="369"/>
      <c r="F17" s="369"/>
      <c r="G17" s="369"/>
      <c r="H17" s="369"/>
      <c r="I17" s="275"/>
      <c r="J17" s="35">
        <v>1519497</v>
      </c>
      <c r="K17" s="35">
        <f>900900+29075</f>
        <v>929975</v>
      </c>
      <c r="L17" s="35">
        <f>1002708</f>
        <v>1002708</v>
      </c>
      <c r="M17" s="35">
        <v>408599</v>
      </c>
      <c r="N17" s="35">
        <f>410256</f>
        <v>410256</v>
      </c>
      <c r="O17" s="35">
        <f>SUM(J17:N17)</f>
        <v>4271035</v>
      </c>
    </row>
    <row r="18" spans="1:15" x14ac:dyDescent="0.25">
      <c r="A18" s="274" t="s">
        <v>183</v>
      </c>
      <c r="B18" s="369"/>
      <c r="C18" s="369"/>
      <c r="D18" s="369"/>
      <c r="E18" s="369"/>
      <c r="F18" s="369"/>
      <c r="G18" s="369"/>
      <c r="H18" s="369"/>
      <c r="I18" s="275"/>
      <c r="J18" s="35">
        <f>SUM(J5:J17)</f>
        <v>16033240</v>
      </c>
      <c r="K18" s="35">
        <f>SUM(K5:K17)</f>
        <v>6219224</v>
      </c>
      <c r="L18" s="35">
        <f>SUM(L5:L17)</f>
        <v>8622474</v>
      </c>
      <c r="M18" s="35">
        <f>SUM(M5:M17)</f>
        <v>2348204</v>
      </c>
      <c r="N18" s="35">
        <f>SUM(N5:N17)</f>
        <v>5088438</v>
      </c>
      <c r="O18" s="35">
        <f>SUM(J18:N18)</f>
        <v>38311580</v>
      </c>
    </row>
    <row r="19" spans="1:15" x14ac:dyDescent="0.25">
      <c r="A19" s="274" t="s">
        <v>184</v>
      </c>
      <c r="B19" s="369"/>
      <c r="C19" s="369"/>
      <c r="D19" s="369"/>
      <c r="E19" s="369"/>
      <c r="F19" s="369"/>
      <c r="G19" s="369"/>
      <c r="H19" s="369"/>
      <c r="I19" s="275"/>
      <c r="J19" s="35">
        <f>J18/797</f>
        <v>20116.988707653702</v>
      </c>
      <c r="K19" s="35">
        <f>K18/300</f>
        <v>20730.746666666666</v>
      </c>
      <c r="L19" s="35">
        <f>L18/276</f>
        <v>31240.847826086956</v>
      </c>
      <c r="M19" s="35">
        <f>M18/59</f>
        <v>39800.067796610172</v>
      </c>
      <c r="N19" s="35">
        <f>N18/132</f>
        <v>38548.772727272728</v>
      </c>
      <c r="O19" s="7"/>
    </row>
    <row r="20" spans="1:15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34" spans="1:1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 t="s">
        <v>214</v>
      </c>
      <c r="N34" s="9"/>
      <c r="O34" s="9" t="s">
        <v>212</v>
      </c>
    </row>
    <row r="35" spans="1:15" ht="30" x14ac:dyDescent="0.25">
      <c r="A35" s="376" t="s">
        <v>191</v>
      </c>
      <c r="B35" s="377"/>
      <c r="C35" s="377"/>
      <c r="D35" s="377"/>
      <c r="E35" s="377"/>
      <c r="F35" s="377"/>
      <c r="G35" s="377"/>
      <c r="H35" s="377"/>
      <c r="I35" s="378"/>
      <c r="J35" s="46" t="s">
        <v>192</v>
      </c>
      <c r="K35" s="46" t="s">
        <v>193</v>
      </c>
      <c r="L35" s="46" t="s">
        <v>194</v>
      </c>
      <c r="M35" s="46" t="s">
        <v>195</v>
      </c>
      <c r="N35" s="46" t="s">
        <v>196</v>
      </c>
      <c r="O35" s="46" t="s">
        <v>183</v>
      </c>
    </row>
    <row r="36" spans="1:15" x14ac:dyDescent="0.25">
      <c r="A36" s="376" t="s">
        <v>170</v>
      </c>
      <c r="B36" s="377"/>
      <c r="C36" s="377"/>
      <c r="D36" s="377"/>
      <c r="E36" s="377"/>
      <c r="F36" s="377"/>
      <c r="G36" s="377"/>
      <c r="H36" s="377"/>
      <c r="I36" s="378"/>
      <c r="J36" s="7"/>
      <c r="K36" s="7"/>
      <c r="L36" s="7"/>
      <c r="M36" s="7"/>
      <c r="N36" s="7"/>
      <c r="O36" s="7"/>
    </row>
    <row r="37" spans="1:15" ht="30.75" customHeight="1" x14ac:dyDescent="0.25">
      <c r="A37" s="373" t="s">
        <v>178</v>
      </c>
      <c r="B37" s="374"/>
      <c r="C37" s="374"/>
      <c r="D37" s="374"/>
      <c r="E37" s="374"/>
      <c r="F37" s="374"/>
      <c r="G37" s="374"/>
      <c r="H37" s="374"/>
      <c r="I37" s="375"/>
      <c r="J37" s="7"/>
      <c r="K37" s="7"/>
      <c r="L37" s="7"/>
      <c r="M37" s="7"/>
      <c r="N37" s="7"/>
      <c r="O37" s="7"/>
    </row>
    <row r="38" spans="1:15" x14ac:dyDescent="0.25">
      <c r="A38" s="274" t="s">
        <v>176</v>
      </c>
      <c r="B38" s="369"/>
      <c r="C38" s="369"/>
      <c r="D38" s="369"/>
      <c r="E38" s="369"/>
      <c r="F38" s="369"/>
      <c r="G38" s="369"/>
      <c r="H38" s="369"/>
      <c r="I38" s="275"/>
      <c r="J38" s="35">
        <f>237000+592500+1313300+28100</f>
        <v>2170900</v>
      </c>
      <c r="K38" s="35">
        <f>67000+167500+322100+28100</f>
        <v>584700</v>
      </c>
      <c r="L38" s="35">
        <f>92000+230000+477000+14000</f>
        <v>813000</v>
      </c>
      <c r="M38" s="35">
        <f>140000+350000+525500+21100</f>
        <v>1036600</v>
      </c>
      <c r="N38" s="35">
        <f>86000+215000+436300+7000</f>
        <v>744300</v>
      </c>
      <c r="O38" s="35">
        <f>SUM(J38:N38)</f>
        <v>5349500</v>
      </c>
    </row>
    <row r="39" spans="1:15" x14ac:dyDescent="0.25">
      <c r="A39" s="274" t="s">
        <v>175</v>
      </c>
      <c r="B39" s="369"/>
      <c r="C39" s="369"/>
      <c r="D39" s="369"/>
      <c r="E39" s="369"/>
      <c r="F39" s="369"/>
      <c r="G39" s="369"/>
      <c r="H39" s="369"/>
      <c r="I39" s="275"/>
      <c r="J39" s="35">
        <f>571953+14574+23700</f>
        <v>610227</v>
      </c>
      <c r="K39" s="35">
        <f>226070+14574+6700</f>
        <v>247344</v>
      </c>
      <c r="L39" s="35">
        <f>392080+14574+9200</f>
        <v>415854</v>
      </c>
      <c r="M39" s="35">
        <f>433680+14574+14000</f>
        <v>462254</v>
      </c>
      <c r="N39" s="35">
        <f>340860+14574+8600</f>
        <v>364034</v>
      </c>
      <c r="O39" s="35">
        <f>SUM(J39:N39)</f>
        <v>2099713</v>
      </c>
    </row>
    <row r="40" spans="1:15" x14ac:dyDescent="0.25">
      <c r="A40" s="370" t="s">
        <v>177</v>
      </c>
      <c r="B40" s="371"/>
      <c r="C40" s="371"/>
      <c r="D40" s="371"/>
      <c r="E40" s="371"/>
      <c r="F40" s="371"/>
      <c r="G40" s="371"/>
      <c r="H40" s="371"/>
      <c r="I40" s="372"/>
      <c r="J40" s="35"/>
      <c r="K40" s="35"/>
      <c r="L40" s="35"/>
      <c r="M40" s="35"/>
      <c r="N40" s="35"/>
      <c r="O40" s="7"/>
    </row>
    <row r="41" spans="1:15" x14ac:dyDescent="0.25">
      <c r="A41" s="373" t="s">
        <v>179</v>
      </c>
      <c r="B41" s="374"/>
      <c r="C41" s="374"/>
      <c r="D41" s="374"/>
      <c r="E41" s="374"/>
      <c r="F41" s="374"/>
      <c r="G41" s="374"/>
      <c r="H41" s="374"/>
      <c r="I41" s="375"/>
      <c r="J41" s="35">
        <v>5944877</v>
      </c>
      <c r="K41" s="35">
        <v>2736021</v>
      </c>
      <c r="L41" s="35">
        <v>3175706</v>
      </c>
      <c r="M41" s="35">
        <v>4319780</v>
      </c>
      <c r="N41" s="35">
        <v>2525483</v>
      </c>
      <c r="O41" s="7"/>
    </row>
    <row r="42" spans="1:15" x14ac:dyDescent="0.25">
      <c r="A42" s="274" t="s">
        <v>171</v>
      </c>
      <c r="B42" s="369"/>
      <c r="C42" s="369"/>
      <c r="D42" s="369"/>
      <c r="E42" s="369"/>
      <c r="F42" s="369"/>
      <c r="G42" s="369"/>
      <c r="H42" s="369"/>
      <c r="I42" s="275"/>
      <c r="J42" s="35"/>
      <c r="K42" s="35"/>
      <c r="L42" s="35"/>
      <c r="M42" s="35"/>
      <c r="N42" s="35"/>
      <c r="O42" s="7"/>
    </row>
    <row r="43" spans="1:15" x14ac:dyDescent="0.25">
      <c r="A43" s="274" t="s">
        <v>172</v>
      </c>
      <c r="B43" s="369"/>
      <c r="C43" s="369"/>
      <c r="D43" s="369"/>
      <c r="E43" s="369"/>
      <c r="F43" s="369"/>
      <c r="G43" s="369"/>
      <c r="H43" s="369"/>
      <c r="I43" s="275"/>
      <c r="J43" s="35">
        <f>851073*90%</f>
        <v>765965.70000000007</v>
      </c>
      <c r="K43" s="35">
        <f>290020*90%</f>
        <v>261018</v>
      </c>
      <c r="L43" s="35">
        <f>422473*90%</f>
        <v>380225.7</v>
      </c>
      <c r="M43" s="35">
        <f>851073*90%</f>
        <v>765965.70000000007</v>
      </c>
      <c r="N43" s="35">
        <f>172725*90%</f>
        <v>155452.5</v>
      </c>
      <c r="O43" s="35">
        <f>SUM(J43:N43)</f>
        <v>2328627.6</v>
      </c>
    </row>
    <row r="44" spans="1:15" x14ac:dyDescent="0.25">
      <c r="A44" s="274" t="s">
        <v>173</v>
      </c>
      <c r="B44" s="369"/>
      <c r="C44" s="369"/>
      <c r="D44" s="369"/>
      <c r="E44" s="369"/>
      <c r="F44" s="369"/>
      <c r="G44" s="369"/>
      <c r="H44" s="369"/>
      <c r="I44" s="275"/>
      <c r="J44" s="35">
        <f>1679285*50%</f>
        <v>839642.5</v>
      </c>
      <c r="K44" s="35">
        <f>441984*50%</f>
        <v>220992</v>
      </c>
      <c r="L44" s="35">
        <f>334425*50%</f>
        <v>167212.5</v>
      </c>
      <c r="M44" s="35">
        <f>1679285*50%</f>
        <v>839642.5</v>
      </c>
      <c r="N44" s="35">
        <f>693695*50%</f>
        <v>346847.5</v>
      </c>
      <c r="O44" s="35">
        <f>SUM(J44:N44)</f>
        <v>2414337</v>
      </c>
    </row>
    <row r="45" spans="1:15" x14ac:dyDescent="0.25">
      <c r="A45" s="274" t="s">
        <v>174</v>
      </c>
      <c r="B45" s="369"/>
      <c r="C45" s="369"/>
      <c r="D45" s="369"/>
      <c r="E45" s="369"/>
      <c r="F45" s="369"/>
      <c r="G45" s="369"/>
      <c r="H45" s="369"/>
      <c r="I45" s="275"/>
      <c r="J45" s="35">
        <f>264737+403305</f>
        <v>668042</v>
      </c>
      <c r="K45" s="35">
        <f>87931+133953</f>
        <v>221884</v>
      </c>
      <c r="L45" s="35"/>
      <c r="M45" s="35">
        <f>264737+403305</f>
        <v>668042</v>
      </c>
      <c r="N45" s="35">
        <f>86441+131687</f>
        <v>218128</v>
      </c>
      <c r="O45" s="35">
        <f>SUM(J45:N45)</f>
        <v>1776096</v>
      </c>
    </row>
    <row r="46" spans="1:15" x14ac:dyDescent="0.25">
      <c r="A46" s="274" t="s">
        <v>180</v>
      </c>
      <c r="B46" s="369"/>
      <c r="C46" s="369"/>
      <c r="D46" s="369"/>
      <c r="E46" s="369"/>
      <c r="F46" s="369"/>
      <c r="G46" s="369"/>
      <c r="H46" s="369"/>
      <c r="I46" s="275"/>
      <c r="J46" s="35"/>
      <c r="K46" s="35"/>
      <c r="L46" s="35"/>
      <c r="M46" s="35"/>
      <c r="N46" s="35"/>
      <c r="O46" s="7"/>
    </row>
    <row r="47" spans="1:15" x14ac:dyDescent="0.25">
      <c r="A47" s="274" t="s">
        <v>181</v>
      </c>
      <c r="B47" s="369"/>
      <c r="C47" s="369"/>
      <c r="D47" s="369"/>
      <c r="E47" s="369"/>
      <c r="F47" s="369"/>
      <c r="G47" s="369"/>
      <c r="H47" s="369"/>
      <c r="I47" s="275"/>
      <c r="J47" s="35"/>
      <c r="K47" s="35"/>
      <c r="L47" s="35"/>
      <c r="M47" s="35"/>
      <c r="N47" s="35"/>
      <c r="O47" s="7"/>
    </row>
    <row r="48" spans="1:15" x14ac:dyDescent="0.25">
      <c r="A48" s="364" t="s">
        <v>182</v>
      </c>
      <c r="B48" s="268"/>
      <c r="C48" s="268"/>
      <c r="D48" s="268"/>
      <c r="E48" s="268"/>
      <c r="F48" s="268"/>
      <c r="G48" s="268"/>
      <c r="H48" s="268"/>
      <c r="I48" s="365"/>
      <c r="J48" s="35">
        <f>762025.3+2335022+851073*10%+1679285*50%-5873.61</f>
        <v>4015923.4899999998</v>
      </c>
      <c r="K48" s="35">
        <f>343430.95+290020*10%+441984*50%+3110</f>
        <v>596534.94999999995</v>
      </c>
      <c r="L48" s="35">
        <f>351543.72+334425*50%+422473*10%+11443</f>
        <v>572446.52</v>
      </c>
      <c r="M48" s="35">
        <f>730660+851073*10%+1679285*50%+3077952</f>
        <v>4733361.8</v>
      </c>
      <c r="N48" s="35">
        <f>689267.67+172725*10%+693695*50%+4355</f>
        <v>1057742.67</v>
      </c>
      <c r="O48" s="7"/>
    </row>
    <row r="49" spans="1:15" x14ac:dyDescent="0.25">
      <c r="A49" s="274" t="s">
        <v>175</v>
      </c>
      <c r="B49" s="369"/>
      <c r="C49" s="369"/>
      <c r="D49" s="369"/>
      <c r="E49" s="369"/>
      <c r="F49" s="369"/>
      <c r="G49" s="369"/>
      <c r="H49" s="369"/>
      <c r="I49" s="275"/>
      <c r="J49" s="35">
        <v>503625</v>
      </c>
      <c r="K49" s="35">
        <v>226125</v>
      </c>
      <c r="L49" s="35">
        <v>310500</v>
      </c>
      <c r="M49" s="35">
        <v>315000</v>
      </c>
      <c r="N49" s="35">
        <v>279500</v>
      </c>
      <c r="O49" s="35">
        <f>SUM(J49:N49)</f>
        <v>1634750</v>
      </c>
    </row>
    <row r="50" spans="1:15" x14ac:dyDescent="0.25">
      <c r="A50" s="274" t="s">
        <v>183</v>
      </c>
      <c r="B50" s="369"/>
      <c r="C50" s="369"/>
      <c r="D50" s="369"/>
      <c r="E50" s="369"/>
      <c r="F50" s="369"/>
      <c r="G50" s="369"/>
      <c r="H50" s="369"/>
      <c r="I50" s="275"/>
      <c r="J50" s="35">
        <f>SUM(J37:J49)</f>
        <v>15519202.689999999</v>
      </c>
      <c r="K50" s="35">
        <f>SUM(K37:K49)</f>
        <v>5094618.95</v>
      </c>
      <c r="L50" s="35">
        <f>SUM(L37:L49)</f>
        <v>5834944.7200000007</v>
      </c>
      <c r="M50" s="35">
        <f>SUM(M37:M49)</f>
        <v>13140646</v>
      </c>
      <c r="N50" s="35">
        <f>SUM(N37:N49)</f>
        <v>5691487.6699999999</v>
      </c>
      <c r="O50" s="35">
        <f>SUM(J50:N50)</f>
        <v>45280900.030000001</v>
      </c>
    </row>
    <row r="51" spans="1:15" x14ac:dyDescent="0.25">
      <c r="A51" s="274" t="s">
        <v>184</v>
      </c>
      <c r="B51" s="369"/>
      <c r="C51" s="369"/>
      <c r="D51" s="369"/>
      <c r="E51" s="369"/>
      <c r="F51" s="369"/>
      <c r="G51" s="369"/>
      <c r="H51" s="369"/>
      <c r="I51" s="275"/>
      <c r="J51" s="35">
        <f>J50/237</f>
        <v>65481.867890295354</v>
      </c>
      <c r="K51" s="35">
        <f>K50/67</f>
        <v>76039.088805970154</v>
      </c>
      <c r="L51" s="35">
        <f>L50/92</f>
        <v>63423.312173913051</v>
      </c>
      <c r="M51" s="35">
        <f>M50/140</f>
        <v>93861.757142857139</v>
      </c>
      <c r="N51" s="35">
        <f>N50/86</f>
        <v>66180.089186046505</v>
      </c>
      <c r="O51" s="7"/>
    </row>
    <row r="52" spans="1:15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5" spans="1:15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 t="s">
        <v>215</v>
      </c>
      <c r="L55" s="9"/>
      <c r="M55" s="9" t="s">
        <v>212</v>
      </c>
      <c r="N55" s="9"/>
      <c r="O55" s="9"/>
    </row>
    <row r="56" spans="1:15" ht="45" x14ac:dyDescent="0.25">
      <c r="A56" s="379" t="s">
        <v>197</v>
      </c>
      <c r="B56" s="380"/>
      <c r="C56" s="380"/>
      <c r="D56" s="380"/>
      <c r="E56" s="380"/>
      <c r="F56" s="380"/>
      <c r="G56" s="380"/>
      <c r="H56" s="380"/>
      <c r="I56" s="381"/>
      <c r="J56" s="46" t="s">
        <v>198</v>
      </c>
      <c r="K56" s="46" t="s">
        <v>199</v>
      </c>
      <c r="L56" s="46" t="s">
        <v>200</v>
      </c>
      <c r="M56" s="46" t="s">
        <v>183</v>
      </c>
      <c r="N56" s="9"/>
      <c r="O56" s="9"/>
    </row>
    <row r="57" spans="1:15" x14ac:dyDescent="0.25">
      <c r="A57" s="376" t="s">
        <v>170</v>
      </c>
      <c r="B57" s="377"/>
      <c r="C57" s="377"/>
      <c r="D57" s="377"/>
      <c r="E57" s="377"/>
      <c r="F57" s="377"/>
      <c r="G57" s="377"/>
      <c r="H57" s="377"/>
      <c r="I57" s="378"/>
      <c r="J57" s="9"/>
      <c r="K57" s="7"/>
      <c r="L57" s="7"/>
      <c r="M57" s="7"/>
      <c r="N57" s="9"/>
      <c r="O57" s="9"/>
    </row>
    <row r="58" spans="1:15" x14ac:dyDescent="0.25">
      <c r="A58" s="373" t="s">
        <v>178</v>
      </c>
      <c r="B58" s="374"/>
      <c r="C58" s="374"/>
      <c r="D58" s="374"/>
      <c r="E58" s="374"/>
      <c r="F58" s="374"/>
      <c r="G58" s="374"/>
      <c r="H58" s="374"/>
      <c r="I58" s="375"/>
      <c r="J58" s="7">
        <v>9585604</v>
      </c>
      <c r="K58" s="7">
        <v>11538945</v>
      </c>
      <c r="L58" s="7">
        <f>9194677+1266658</f>
        <v>10461335</v>
      </c>
      <c r="M58" s="7"/>
      <c r="N58" s="9"/>
      <c r="O58" s="9"/>
    </row>
    <row r="59" spans="1:15" x14ac:dyDescent="0.25">
      <c r="A59" s="274" t="s">
        <v>176</v>
      </c>
      <c r="B59" s="369"/>
      <c r="C59" s="369"/>
      <c r="D59" s="369"/>
      <c r="E59" s="369"/>
      <c r="F59" s="369"/>
      <c r="G59" s="369"/>
      <c r="H59" s="369"/>
      <c r="I59" s="275"/>
      <c r="J59" s="7">
        <f>500000+400000</f>
        <v>900000</v>
      </c>
      <c r="K59" s="35">
        <f>400000+364550</f>
        <v>764550</v>
      </c>
      <c r="L59" s="35">
        <f>180000+850000</f>
        <v>1030000</v>
      </c>
      <c r="M59" s="35">
        <f>SUM(J59:L59)</f>
        <v>2694550</v>
      </c>
      <c r="N59" s="9"/>
      <c r="O59" s="9"/>
    </row>
    <row r="60" spans="1:15" x14ac:dyDescent="0.25">
      <c r="A60" s="274" t="s">
        <v>175</v>
      </c>
      <c r="B60" s="369"/>
      <c r="C60" s="369"/>
      <c r="D60" s="369"/>
      <c r="E60" s="369"/>
      <c r="F60" s="369"/>
      <c r="G60" s="369"/>
      <c r="H60" s="369"/>
      <c r="I60" s="275"/>
      <c r="J60" s="35">
        <f>591000+210888+54100+149000</f>
        <v>1004988</v>
      </c>
      <c r="K60" s="35">
        <f>545000+137870+90200+500000</f>
        <v>1273070</v>
      </c>
      <c r="L60" s="35">
        <f>572160+197184+200000+1800000</f>
        <v>2769344</v>
      </c>
      <c r="M60" s="35">
        <f>SUM(J60:L60)</f>
        <v>5047402</v>
      </c>
      <c r="N60" s="9"/>
      <c r="O60" s="9"/>
    </row>
    <row r="61" spans="1:15" x14ac:dyDescent="0.25">
      <c r="A61" s="370" t="s">
        <v>177</v>
      </c>
      <c r="B61" s="371"/>
      <c r="C61" s="371"/>
      <c r="D61" s="371"/>
      <c r="E61" s="371"/>
      <c r="F61" s="371"/>
      <c r="G61" s="371"/>
      <c r="H61" s="371"/>
      <c r="I61" s="372"/>
      <c r="J61" s="35"/>
      <c r="K61" s="35"/>
      <c r="L61" s="35"/>
      <c r="M61" s="7"/>
      <c r="N61" s="107"/>
      <c r="O61" s="9"/>
    </row>
    <row r="62" spans="1:15" x14ac:dyDescent="0.25">
      <c r="A62" s="373" t="s">
        <v>179</v>
      </c>
      <c r="B62" s="374"/>
      <c r="C62" s="374"/>
      <c r="D62" s="374"/>
      <c r="E62" s="374"/>
      <c r="F62" s="374"/>
      <c r="G62" s="374"/>
      <c r="H62" s="374"/>
      <c r="I62" s="375"/>
      <c r="J62" s="35">
        <v>7543025</v>
      </c>
      <c r="K62" s="35">
        <v>6002423</v>
      </c>
      <c r="L62" s="35">
        <f>8678789+8809872</f>
        <v>17488661</v>
      </c>
      <c r="M62" s="7"/>
      <c r="N62" s="9"/>
      <c r="O62" s="9"/>
    </row>
    <row r="63" spans="1:15" x14ac:dyDescent="0.25">
      <c r="A63" s="274" t="s">
        <v>171</v>
      </c>
      <c r="B63" s="369"/>
      <c r="C63" s="369"/>
      <c r="D63" s="369"/>
      <c r="E63" s="369"/>
      <c r="F63" s="369"/>
      <c r="G63" s="369"/>
      <c r="H63" s="369"/>
      <c r="I63" s="275"/>
      <c r="J63" s="35"/>
      <c r="K63" s="35"/>
      <c r="L63" s="35"/>
      <c r="M63" s="7"/>
      <c r="N63" s="9"/>
      <c r="O63" s="9"/>
    </row>
    <row r="64" spans="1:15" x14ac:dyDescent="0.25">
      <c r="A64" s="274" t="s">
        <v>172</v>
      </c>
      <c r="B64" s="369"/>
      <c r="C64" s="369"/>
      <c r="D64" s="369"/>
      <c r="E64" s="369"/>
      <c r="F64" s="369"/>
      <c r="G64" s="369"/>
      <c r="H64" s="369"/>
      <c r="I64" s="275"/>
      <c r="J64" s="35">
        <f>22119*90%</f>
        <v>19907.100000000002</v>
      </c>
      <c r="K64" s="35">
        <f>72262*90%</f>
        <v>65035.8</v>
      </c>
      <c r="L64" s="35">
        <f>1083607*90%</f>
        <v>975246.3</v>
      </c>
      <c r="M64" s="35">
        <f>SUM(J64:L64)</f>
        <v>1060189.2</v>
      </c>
      <c r="N64" s="9"/>
      <c r="O64" s="9"/>
    </row>
    <row r="65" spans="1:15" x14ac:dyDescent="0.25">
      <c r="A65" s="274" t="s">
        <v>173</v>
      </c>
      <c r="B65" s="369"/>
      <c r="C65" s="369"/>
      <c r="D65" s="369"/>
      <c r="E65" s="369"/>
      <c r="F65" s="369"/>
      <c r="G65" s="369"/>
      <c r="H65" s="369"/>
      <c r="I65" s="275"/>
      <c r="J65" s="35">
        <f>348365*50%</f>
        <v>174182.5</v>
      </c>
      <c r="K65" s="35">
        <f>243245*50%</f>
        <v>121622.5</v>
      </c>
      <c r="L65" s="35">
        <f>(2125749*50%)+(1197000*50%)</f>
        <v>1661374.5</v>
      </c>
      <c r="M65" s="35">
        <f>SUM(J65:L65)</f>
        <v>1957179.5</v>
      </c>
      <c r="N65" s="9"/>
      <c r="O65" s="9"/>
    </row>
    <row r="66" spans="1:15" x14ac:dyDescent="0.25">
      <c r="A66" s="274" t="s">
        <v>174</v>
      </c>
      <c r="B66" s="369"/>
      <c r="C66" s="369"/>
      <c r="D66" s="369"/>
      <c r="E66" s="369"/>
      <c r="F66" s="369"/>
      <c r="G66" s="369"/>
      <c r="H66" s="369"/>
      <c r="I66" s="275"/>
      <c r="J66" s="35">
        <f>24350+37095</f>
        <v>61445</v>
      </c>
      <c r="K66" s="35">
        <f>11769+17929</f>
        <v>29698</v>
      </c>
      <c r="L66" s="35">
        <f>515700+799735</f>
        <v>1315435</v>
      </c>
      <c r="M66" s="35">
        <f>SUM(J66:L66)</f>
        <v>1406578</v>
      </c>
      <c r="N66" s="9"/>
      <c r="O66" s="9"/>
    </row>
    <row r="67" spans="1:15" x14ac:dyDescent="0.25">
      <c r="A67" s="274" t="s">
        <v>180</v>
      </c>
      <c r="B67" s="369"/>
      <c r="C67" s="369"/>
      <c r="D67" s="369"/>
      <c r="E67" s="369"/>
      <c r="F67" s="369"/>
      <c r="G67" s="369"/>
      <c r="H67" s="369"/>
      <c r="I67" s="275"/>
      <c r="J67" s="35">
        <v>130000</v>
      </c>
      <c r="K67" s="35">
        <v>117000</v>
      </c>
      <c r="L67" s="35">
        <v>171000</v>
      </c>
      <c r="M67" s="7"/>
      <c r="N67" s="9"/>
      <c r="O67" s="9"/>
    </row>
    <row r="68" spans="1:15" x14ac:dyDescent="0.25">
      <c r="A68" s="274" t="s">
        <v>181</v>
      </c>
      <c r="B68" s="369"/>
      <c r="C68" s="369"/>
      <c r="D68" s="369"/>
      <c r="E68" s="369"/>
      <c r="F68" s="369"/>
      <c r="G68" s="369"/>
      <c r="H68" s="369"/>
      <c r="I68" s="275"/>
      <c r="J68" s="35"/>
      <c r="K68" s="35"/>
      <c r="L68" s="35"/>
      <c r="M68" s="7"/>
      <c r="N68" s="9"/>
      <c r="O68" s="9"/>
    </row>
    <row r="69" spans="1:15" x14ac:dyDescent="0.25">
      <c r="A69" s="364" t="s">
        <v>182</v>
      </c>
      <c r="B69" s="268"/>
      <c r="C69" s="268"/>
      <c r="D69" s="268"/>
      <c r="E69" s="268"/>
      <c r="F69" s="268"/>
      <c r="G69" s="268"/>
      <c r="H69" s="268"/>
      <c r="I69" s="365"/>
      <c r="J69" s="35">
        <f>180000+270000+22119*10%+348365*50%+204706</f>
        <v>831100.4</v>
      </c>
      <c r="K69" s="35">
        <f>180000+270000+72262*10%+243245*50%+19778</f>
        <v>598626.69999999995</v>
      </c>
      <c r="L69" s="35">
        <f>360000+1000000+1083607*10%+2125749*50%+977842+1197000*50%</f>
        <v>4107577.2</v>
      </c>
      <c r="M69" s="7"/>
      <c r="N69" s="9"/>
      <c r="O69" s="9"/>
    </row>
    <row r="70" spans="1:15" x14ac:dyDescent="0.25">
      <c r="A70" s="274" t="s">
        <v>175</v>
      </c>
      <c r="B70" s="369"/>
      <c r="C70" s="369"/>
      <c r="D70" s="369"/>
      <c r="E70" s="369"/>
      <c r="F70" s="369"/>
      <c r="G70" s="369"/>
      <c r="H70" s="369"/>
      <c r="I70" s="275"/>
      <c r="J70" s="35">
        <v>400000</v>
      </c>
      <c r="K70" s="35">
        <v>420000</v>
      </c>
      <c r="L70" s="35">
        <v>900000</v>
      </c>
      <c r="M70" s="35">
        <f>SUM(J70:L70)</f>
        <v>1720000</v>
      </c>
      <c r="N70" s="9"/>
      <c r="O70" s="9"/>
    </row>
    <row r="71" spans="1:15" x14ac:dyDescent="0.25">
      <c r="A71" s="274" t="s">
        <v>183</v>
      </c>
      <c r="B71" s="369"/>
      <c r="C71" s="369"/>
      <c r="D71" s="369"/>
      <c r="E71" s="369"/>
      <c r="F71" s="369"/>
      <c r="G71" s="369"/>
      <c r="H71" s="369"/>
      <c r="I71" s="275"/>
      <c r="J71" s="35">
        <f>SUM(J58:J70)</f>
        <v>20650252</v>
      </c>
      <c r="K71" s="35">
        <f>SUM(K58:K70)</f>
        <v>20930971</v>
      </c>
      <c r="L71" s="35">
        <f>SUM(L58:L70)</f>
        <v>40879973</v>
      </c>
      <c r="M71" s="35">
        <f>SUM(J71:L71)</f>
        <v>82461196</v>
      </c>
      <c r="N71" s="9"/>
      <c r="O71" s="9"/>
    </row>
    <row r="72" spans="1:15" x14ac:dyDescent="0.25">
      <c r="A72" s="274" t="s">
        <v>201</v>
      </c>
      <c r="B72" s="369"/>
      <c r="C72" s="369"/>
      <c r="D72" s="369"/>
      <c r="E72" s="369"/>
      <c r="F72" s="369"/>
      <c r="G72" s="369"/>
      <c r="H72" s="369"/>
      <c r="I72" s="275"/>
      <c r="J72" s="35">
        <f>J71/54940</f>
        <v>375.8691663633054</v>
      </c>
      <c r="K72" s="35">
        <f>K71/371480</f>
        <v>56.344812641326584</v>
      </c>
      <c r="L72" s="35">
        <f>L71/537800</f>
        <v>76.013337671997022</v>
      </c>
      <c r="M72" s="7"/>
      <c r="N72" s="9"/>
      <c r="O72" s="9"/>
    </row>
    <row r="73" spans="1:15" x14ac:dyDescent="0.25">
      <c r="A73" s="274" t="s">
        <v>202</v>
      </c>
      <c r="B73" s="369"/>
      <c r="C73" s="369"/>
      <c r="D73" s="369"/>
      <c r="E73" s="369"/>
      <c r="F73" s="369"/>
      <c r="G73" s="369"/>
      <c r="H73" s="369"/>
      <c r="I73" s="275"/>
      <c r="J73" s="35">
        <f>J71/170</f>
        <v>121472.07058823529</v>
      </c>
      <c r="K73" s="35">
        <f>K71/545</f>
        <v>38405.45137614679</v>
      </c>
      <c r="L73" s="35">
        <f>L71/479</f>
        <v>85344.411273486432</v>
      </c>
      <c r="M73" s="35"/>
      <c r="N73" s="9"/>
      <c r="O73" s="9"/>
    </row>
    <row r="74" spans="1:15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 t="s">
        <v>216</v>
      </c>
      <c r="N76" s="9"/>
      <c r="O76" s="9" t="s">
        <v>212</v>
      </c>
    </row>
    <row r="77" spans="1:15" ht="60" x14ac:dyDescent="0.25">
      <c r="A77" s="376" t="s">
        <v>203</v>
      </c>
      <c r="B77" s="377"/>
      <c r="C77" s="377"/>
      <c r="D77" s="377"/>
      <c r="E77" s="377"/>
      <c r="F77" s="377"/>
      <c r="G77" s="377"/>
      <c r="H77" s="377"/>
      <c r="I77" s="378"/>
      <c r="J77" s="4" t="s">
        <v>204</v>
      </c>
      <c r="K77" s="4" t="s">
        <v>205</v>
      </c>
      <c r="L77" s="46" t="s">
        <v>206</v>
      </c>
      <c r="M77" s="46" t="s">
        <v>207</v>
      </c>
      <c r="N77" s="46" t="s">
        <v>208</v>
      </c>
      <c r="O77" s="4" t="s">
        <v>183</v>
      </c>
    </row>
    <row r="78" spans="1:15" x14ac:dyDescent="0.25">
      <c r="A78" s="376" t="s">
        <v>171</v>
      </c>
      <c r="B78" s="377"/>
      <c r="C78" s="377"/>
      <c r="D78" s="377"/>
      <c r="E78" s="377"/>
      <c r="F78" s="377"/>
      <c r="G78" s="377"/>
      <c r="H78" s="377"/>
      <c r="I78" s="378"/>
      <c r="J78" s="7"/>
      <c r="K78" s="7"/>
      <c r="L78" s="7"/>
      <c r="M78" s="7"/>
      <c r="N78" s="7"/>
      <c r="O78" s="7"/>
    </row>
    <row r="79" spans="1:15" x14ac:dyDescent="0.25">
      <c r="A79" s="373" t="s">
        <v>178</v>
      </c>
      <c r="B79" s="374"/>
      <c r="C79" s="374"/>
      <c r="D79" s="374"/>
      <c r="E79" s="374"/>
      <c r="F79" s="374"/>
      <c r="G79" s="374"/>
      <c r="H79" s="374"/>
      <c r="I79" s="375"/>
      <c r="J79" s="7">
        <v>14379107</v>
      </c>
      <c r="K79" s="7">
        <v>1392026</v>
      </c>
      <c r="L79" s="7">
        <v>1608268</v>
      </c>
      <c r="M79" s="7">
        <v>21903020</v>
      </c>
      <c r="N79" s="7">
        <v>3242628</v>
      </c>
      <c r="O79" s="7">
        <f>SUM(J79:N79)</f>
        <v>42525049</v>
      </c>
    </row>
    <row r="80" spans="1:15" x14ac:dyDescent="0.25">
      <c r="A80" s="274" t="s">
        <v>176</v>
      </c>
      <c r="B80" s="369"/>
      <c r="C80" s="369"/>
      <c r="D80" s="369"/>
      <c r="E80" s="369"/>
      <c r="F80" s="369"/>
      <c r="G80" s="369"/>
      <c r="H80" s="369"/>
      <c r="I80" s="275"/>
      <c r="J80" s="35">
        <f>310000+837396</f>
        <v>1147396</v>
      </c>
      <c r="K80" s="35">
        <f>140000+62680</f>
        <v>202680</v>
      </c>
      <c r="L80" s="35">
        <f>125000+54000</f>
        <v>179000</v>
      </c>
      <c r="M80" s="35">
        <f>700000+590000</f>
        <v>1290000</v>
      </c>
      <c r="N80" s="35">
        <f>47300+120000</f>
        <v>167300</v>
      </c>
      <c r="O80" s="35">
        <f>SUM(J80:N80)</f>
        <v>2986376</v>
      </c>
    </row>
    <row r="81" spans="1:16" x14ac:dyDescent="0.25">
      <c r="A81" s="274" t="s">
        <v>175</v>
      </c>
      <c r="B81" s="369"/>
      <c r="C81" s="369"/>
      <c r="D81" s="369"/>
      <c r="E81" s="369"/>
      <c r="F81" s="369"/>
      <c r="G81" s="369"/>
      <c r="H81" s="369"/>
      <c r="I81" s="275"/>
      <c r="J81" s="35">
        <f>294000+74000+300000</f>
        <v>668000</v>
      </c>
      <c r="K81" s="35">
        <f>70000+12600+50000</f>
        <v>132600</v>
      </c>
      <c r="L81" s="35">
        <f>35000+12600+50000</f>
        <v>97600</v>
      </c>
      <c r="M81" s="35">
        <f>863294+372110+130000</f>
        <v>1365404</v>
      </c>
      <c r="N81" s="35">
        <f>77000+80296+70000</f>
        <v>227296</v>
      </c>
      <c r="O81" s="35">
        <f>SUM(J81:N81)</f>
        <v>2490900</v>
      </c>
    </row>
    <row r="82" spans="1:16" x14ac:dyDescent="0.25">
      <c r="A82" s="370" t="s">
        <v>177</v>
      </c>
      <c r="B82" s="371"/>
      <c r="C82" s="371"/>
      <c r="D82" s="371"/>
      <c r="E82" s="371"/>
      <c r="F82" s="371"/>
      <c r="G82" s="371"/>
      <c r="H82" s="371"/>
      <c r="I82" s="372"/>
      <c r="J82" s="35"/>
      <c r="K82" s="35"/>
      <c r="L82" s="35"/>
      <c r="M82" s="35"/>
      <c r="N82" s="35"/>
      <c r="O82" s="7"/>
      <c r="P82" s="31"/>
    </row>
    <row r="83" spans="1:16" x14ac:dyDescent="0.25">
      <c r="A83" s="373" t="s">
        <v>179</v>
      </c>
      <c r="B83" s="374"/>
      <c r="C83" s="374"/>
      <c r="D83" s="374"/>
      <c r="E83" s="374"/>
      <c r="F83" s="374"/>
      <c r="G83" s="374"/>
      <c r="H83" s="374"/>
      <c r="I83" s="375"/>
      <c r="J83" s="35">
        <v>6443666</v>
      </c>
      <c r="K83" s="35">
        <v>3031496</v>
      </c>
      <c r="L83" s="35">
        <f>1038039+448293</f>
        <v>1486332</v>
      </c>
      <c r="M83" s="35">
        <f>2467433+2901308</f>
        <v>5368741</v>
      </c>
      <c r="N83" s="35">
        <v>3539137</v>
      </c>
      <c r="O83" s="35">
        <f>SUM(J83:N83)</f>
        <v>19869372</v>
      </c>
    </row>
    <row r="84" spans="1:16" x14ac:dyDescent="0.25">
      <c r="A84" s="274" t="s">
        <v>171</v>
      </c>
      <c r="B84" s="369"/>
      <c r="C84" s="369"/>
      <c r="D84" s="369"/>
      <c r="E84" s="369"/>
      <c r="F84" s="369"/>
      <c r="G84" s="369"/>
      <c r="H84" s="369"/>
      <c r="I84" s="275"/>
      <c r="J84" s="35"/>
      <c r="K84" s="35"/>
      <c r="L84" s="35"/>
      <c r="M84" s="35"/>
      <c r="N84" s="35"/>
      <c r="O84" s="7"/>
    </row>
    <row r="85" spans="1:16" x14ac:dyDescent="0.25">
      <c r="A85" s="274" t="s">
        <v>172</v>
      </c>
      <c r="B85" s="369"/>
      <c r="C85" s="369"/>
      <c r="D85" s="369"/>
      <c r="E85" s="369"/>
      <c r="F85" s="369"/>
      <c r="G85" s="369"/>
      <c r="H85" s="369"/>
      <c r="I85" s="275"/>
      <c r="J85" s="35">
        <f>167725*90%</f>
        <v>150952.5</v>
      </c>
      <c r="K85" s="35">
        <f>58458*90%</f>
        <v>52612.200000000004</v>
      </c>
      <c r="L85" s="35">
        <f>25397*90%</f>
        <v>22857.3</v>
      </c>
      <c r="M85" s="35">
        <f>170575*90%</f>
        <v>153517.5</v>
      </c>
      <c r="N85" s="35">
        <f>59460*90%</f>
        <v>53514</v>
      </c>
      <c r="O85" s="35">
        <f>SUM(J85:N85)</f>
        <v>433453.5</v>
      </c>
    </row>
    <row r="86" spans="1:16" x14ac:dyDescent="0.25">
      <c r="A86" s="274" t="s">
        <v>173</v>
      </c>
      <c r="B86" s="369"/>
      <c r="C86" s="369"/>
      <c r="D86" s="369"/>
      <c r="E86" s="369"/>
      <c r="F86" s="369"/>
      <c r="G86" s="369"/>
      <c r="H86" s="369"/>
      <c r="I86" s="275"/>
      <c r="J86" s="35">
        <f>679010*50%</f>
        <v>339505</v>
      </c>
      <c r="K86" s="35">
        <f>250328*50%</f>
        <v>125164</v>
      </c>
      <c r="L86" s="35">
        <f>204718*50%</f>
        <v>102359</v>
      </c>
      <c r="M86" s="35">
        <f>930337*50%</f>
        <v>465168.5</v>
      </c>
      <c r="N86" s="35">
        <f>563911*50%</f>
        <v>281955.5</v>
      </c>
      <c r="O86" s="35">
        <f t="shared" ref="O86:O88" si="0">SUM(J86:N86)</f>
        <v>1314152</v>
      </c>
    </row>
    <row r="87" spans="1:16" x14ac:dyDescent="0.25">
      <c r="A87" s="274" t="s">
        <v>174</v>
      </c>
      <c r="B87" s="369"/>
      <c r="C87" s="369"/>
      <c r="D87" s="369"/>
      <c r="E87" s="369"/>
      <c r="F87" s="369"/>
      <c r="G87" s="369"/>
      <c r="H87" s="369"/>
      <c r="I87" s="275"/>
      <c r="J87" s="35">
        <f>41394+63062+146</f>
        <v>104602</v>
      </c>
      <c r="K87" s="35">
        <f>6764+10304</f>
        <v>17068</v>
      </c>
      <c r="L87" s="35">
        <v>4260</v>
      </c>
      <c r="M87" s="35">
        <f>1748+1649</f>
        <v>3397</v>
      </c>
      <c r="N87" s="35">
        <f>9604+14632-7</f>
        <v>24229</v>
      </c>
      <c r="O87" s="35">
        <f t="shared" si="0"/>
        <v>153556</v>
      </c>
    </row>
    <row r="88" spans="1:16" x14ac:dyDescent="0.25">
      <c r="A88" s="274" t="s">
        <v>180</v>
      </c>
      <c r="B88" s="369"/>
      <c r="C88" s="369"/>
      <c r="D88" s="369"/>
      <c r="E88" s="369"/>
      <c r="F88" s="369"/>
      <c r="G88" s="369"/>
      <c r="H88" s="369"/>
      <c r="I88" s="275"/>
      <c r="J88" s="35">
        <v>128300</v>
      </c>
      <c r="K88" s="35">
        <v>75000</v>
      </c>
      <c r="L88" s="35">
        <v>80000</v>
      </c>
      <c r="M88" s="35">
        <v>677555</v>
      </c>
      <c r="N88" s="35">
        <v>105000</v>
      </c>
      <c r="O88" s="35">
        <f t="shared" si="0"/>
        <v>1065855</v>
      </c>
    </row>
    <row r="89" spans="1:16" x14ac:dyDescent="0.25">
      <c r="A89" s="274" t="s">
        <v>181</v>
      </c>
      <c r="B89" s="369"/>
      <c r="C89" s="369"/>
      <c r="D89" s="369"/>
      <c r="E89" s="369"/>
      <c r="F89" s="369"/>
      <c r="G89" s="369"/>
      <c r="H89" s="369"/>
      <c r="I89" s="275"/>
      <c r="J89" s="35"/>
      <c r="K89" s="35"/>
      <c r="L89" s="35"/>
      <c r="M89" s="35"/>
      <c r="N89" s="35"/>
      <c r="O89" s="7"/>
    </row>
    <row r="90" spans="1:16" x14ac:dyDescent="0.25">
      <c r="A90" s="364" t="s">
        <v>182</v>
      </c>
      <c r="B90" s="268"/>
      <c r="C90" s="268"/>
      <c r="D90" s="268"/>
      <c r="E90" s="268"/>
      <c r="F90" s="268"/>
      <c r="G90" s="268"/>
      <c r="H90" s="268"/>
      <c r="I90" s="365"/>
      <c r="J90" s="35">
        <f>591635+167725*10%+679010*50%+37167</f>
        <v>985079.5</v>
      </c>
      <c r="K90" s="35">
        <f>209880+58458*10%+250328*50%+253321</f>
        <v>594210.80000000005</v>
      </c>
      <c r="L90" s="35">
        <f>144100+25397*10%+204718*50%+33496</f>
        <v>282494.7</v>
      </c>
      <c r="M90" s="35">
        <f>736720+608481+267613+170575*10%+930337*50%</f>
        <v>2095040</v>
      </c>
      <c r="N90" s="35">
        <f>220000+3894+59460*10%+563911*50%</f>
        <v>511795.5</v>
      </c>
      <c r="O90" s="35">
        <f>SUM(J90:N90)</f>
        <v>4468620.5</v>
      </c>
    </row>
    <row r="91" spans="1:16" x14ac:dyDescent="0.25">
      <c r="A91" s="274" t="s">
        <v>175</v>
      </c>
      <c r="B91" s="369"/>
      <c r="C91" s="369"/>
      <c r="D91" s="369"/>
      <c r="E91" s="369"/>
      <c r="F91" s="369"/>
      <c r="G91" s="369"/>
      <c r="H91" s="369"/>
      <c r="I91" s="275"/>
      <c r="J91" s="35">
        <v>830894</v>
      </c>
      <c r="K91" s="35">
        <v>53233.2</v>
      </c>
      <c r="L91" s="35">
        <v>42837</v>
      </c>
      <c r="M91" s="35">
        <v>1263060</v>
      </c>
      <c r="N91" s="35">
        <v>163550</v>
      </c>
      <c r="O91" s="35">
        <f>SUM(J91:N91)</f>
        <v>2353574.2000000002</v>
      </c>
    </row>
    <row r="92" spans="1:16" x14ac:dyDescent="0.25">
      <c r="A92" s="274" t="s">
        <v>183</v>
      </c>
      <c r="B92" s="369"/>
      <c r="C92" s="369"/>
      <c r="D92" s="369"/>
      <c r="E92" s="369"/>
      <c r="F92" s="369"/>
      <c r="G92" s="369"/>
      <c r="H92" s="369"/>
      <c r="I92" s="275"/>
      <c r="J92" s="35">
        <f>SUM(J79:J91)</f>
        <v>25177502</v>
      </c>
      <c r="K92" s="35">
        <f>SUM(K79:K91)</f>
        <v>5676090.2000000002</v>
      </c>
      <c r="L92" s="35">
        <f>SUM(L79:L91)</f>
        <v>3906008</v>
      </c>
      <c r="M92" s="35">
        <f>SUM(M79:M91)</f>
        <v>34584903</v>
      </c>
      <c r="N92" s="35">
        <f>SUM(N79:N91)</f>
        <v>8316405</v>
      </c>
      <c r="O92" s="35">
        <f>SUM(J92:N92)</f>
        <v>77660908.200000003</v>
      </c>
    </row>
    <row r="93" spans="1:16" x14ac:dyDescent="0.25">
      <c r="A93" s="274" t="s">
        <v>209</v>
      </c>
      <c r="B93" s="369"/>
      <c r="C93" s="369"/>
      <c r="D93" s="369"/>
      <c r="E93" s="369"/>
      <c r="F93" s="369"/>
      <c r="G93" s="369"/>
      <c r="H93" s="369"/>
      <c r="I93" s="275"/>
      <c r="J93" s="35">
        <f>J92/260</f>
        <v>96836.546153846153</v>
      </c>
      <c r="K93" s="35">
        <f>K92/60</f>
        <v>94601.503333333341</v>
      </c>
      <c r="L93" s="35">
        <f>L92/24</f>
        <v>162750.33333333334</v>
      </c>
      <c r="M93" s="9"/>
      <c r="N93" s="35"/>
      <c r="O93" s="7"/>
    </row>
    <row r="94" spans="1:16" x14ac:dyDescent="0.25">
      <c r="A94" s="274" t="s">
        <v>210</v>
      </c>
      <c r="B94" s="369"/>
      <c r="C94" s="369"/>
      <c r="D94" s="369"/>
      <c r="E94" s="369"/>
      <c r="F94" s="369"/>
      <c r="G94" s="369"/>
      <c r="H94" s="369"/>
      <c r="I94" s="275"/>
      <c r="J94" s="7"/>
      <c r="K94" s="7"/>
      <c r="L94" s="7"/>
      <c r="M94" s="35">
        <f>M92/73500</f>
        <v>470.54289795918368</v>
      </c>
      <c r="N94" s="7"/>
      <c r="O94" s="7"/>
    </row>
    <row r="95" spans="1:16" x14ac:dyDescent="0.25">
      <c r="A95" s="274" t="s">
        <v>211</v>
      </c>
      <c r="B95" s="369"/>
      <c r="C95" s="369"/>
      <c r="D95" s="369"/>
      <c r="E95" s="369"/>
      <c r="F95" s="369"/>
      <c r="G95" s="369"/>
      <c r="H95" s="369"/>
      <c r="I95" s="275"/>
      <c r="J95" s="7"/>
      <c r="K95" s="7"/>
      <c r="L95" s="7"/>
      <c r="M95" s="7"/>
      <c r="N95" s="35">
        <f>N92/2800</f>
        <v>2970.144642857143</v>
      </c>
      <c r="O95" s="7"/>
    </row>
  </sheetData>
  <mergeCells count="71">
    <mergeCell ref="A87:I87"/>
    <mergeCell ref="A88:I88"/>
    <mergeCell ref="A94:I94"/>
    <mergeCell ref="A95:I95"/>
    <mergeCell ref="A89:I89"/>
    <mergeCell ref="A90:I90"/>
    <mergeCell ref="A91:I91"/>
    <mergeCell ref="A92:I92"/>
    <mergeCell ref="A93:I93"/>
    <mergeCell ref="A82:I82"/>
    <mergeCell ref="A83:I83"/>
    <mergeCell ref="A84:I84"/>
    <mergeCell ref="A85:I85"/>
    <mergeCell ref="A86:I86"/>
    <mergeCell ref="A77:I77"/>
    <mergeCell ref="A78:I78"/>
    <mergeCell ref="A79:I79"/>
    <mergeCell ref="A80:I80"/>
    <mergeCell ref="A81:I81"/>
    <mergeCell ref="A69:I69"/>
    <mergeCell ref="A70:I70"/>
    <mergeCell ref="A71:I71"/>
    <mergeCell ref="A72:I72"/>
    <mergeCell ref="A73:I73"/>
    <mergeCell ref="A64:I64"/>
    <mergeCell ref="A65:I65"/>
    <mergeCell ref="A66:I66"/>
    <mergeCell ref="A67:I67"/>
    <mergeCell ref="A68:I68"/>
    <mergeCell ref="A59:I59"/>
    <mergeCell ref="A60:I60"/>
    <mergeCell ref="A61:I61"/>
    <mergeCell ref="A62:I62"/>
    <mergeCell ref="A63:I63"/>
    <mergeCell ref="A7:I7"/>
    <mergeCell ref="A8:I8"/>
    <mergeCell ref="A56:I56"/>
    <mergeCell ref="A57:I57"/>
    <mergeCell ref="A58:I58"/>
    <mergeCell ref="A9:I9"/>
    <mergeCell ref="A11:I11"/>
    <mergeCell ref="A12:I12"/>
    <mergeCell ref="A10:I10"/>
    <mergeCell ref="A38:I38"/>
    <mergeCell ref="A35:I35"/>
    <mergeCell ref="A36:I36"/>
    <mergeCell ref="A37:I37"/>
    <mergeCell ref="A19:I19"/>
    <mergeCell ref="A13:I13"/>
    <mergeCell ref="A14:I14"/>
    <mergeCell ref="A2:I2"/>
    <mergeCell ref="A3:I3"/>
    <mergeCell ref="A4:I4"/>
    <mergeCell ref="A5:I5"/>
    <mergeCell ref="A6:I6"/>
    <mergeCell ref="A15:I16"/>
    <mergeCell ref="A17:I17"/>
    <mergeCell ref="A18:I18"/>
    <mergeCell ref="A39:I39"/>
    <mergeCell ref="A51:I51"/>
    <mergeCell ref="A40:I40"/>
    <mergeCell ref="A41:I41"/>
    <mergeCell ref="A42:I42"/>
    <mergeCell ref="A43:I43"/>
    <mergeCell ref="A44:I44"/>
    <mergeCell ref="A45:I45"/>
    <mergeCell ref="A46:I46"/>
    <mergeCell ref="A47:I47"/>
    <mergeCell ref="A48:I48"/>
    <mergeCell ref="A49:I49"/>
    <mergeCell ref="A50:I5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B181"/>
  <sheetViews>
    <sheetView showGridLines="0" workbookViewId="0">
      <selection activeCell="J11" sqref="J11"/>
    </sheetView>
  </sheetViews>
  <sheetFormatPr defaultRowHeight="15" x14ac:dyDescent="0.25"/>
  <cols>
    <col min="1" max="1" width="5" customWidth="1"/>
    <col min="4" max="4" width="3.28515625" customWidth="1"/>
    <col min="6" max="6" width="8.5703125" customWidth="1"/>
    <col min="7" max="7" width="5.85546875" customWidth="1"/>
    <col min="8" max="8" width="12.28515625" customWidth="1"/>
    <col min="9" max="9" width="4.5703125" customWidth="1"/>
    <col min="10" max="10" width="12.28515625" customWidth="1"/>
    <col min="11" max="11" width="10.85546875" customWidth="1"/>
    <col min="12" max="12" width="11.28515625" customWidth="1"/>
    <col min="13" max="13" width="11" customWidth="1"/>
    <col min="14" max="14" width="12.85546875" customWidth="1"/>
    <col min="15" max="15" width="10.7109375" customWidth="1"/>
    <col min="16" max="16" width="10.85546875" customWidth="1"/>
    <col min="17" max="17" width="10.140625" customWidth="1"/>
    <col min="18" max="18" width="12.85546875" customWidth="1"/>
    <col min="19" max="19" width="12.7109375" customWidth="1"/>
    <col min="20" max="20" width="12" customWidth="1"/>
    <col min="21" max="21" width="3.85546875" customWidth="1"/>
    <col min="22" max="22" width="10.42578125" customWidth="1"/>
    <col min="23" max="23" width="5.28515625" customWidth="1"/>
    <col min="24" max="24" width="8" customWidth="1"/>
    <col min="25" max="25" width="4.5703125" customWidth="1"/>
    <col min="26" max="26" width="10.28515625" customWidth="1"/>
    <col min="27" max="27" width="10.5703125" customWidth="1"/>
  </cols>
  <sheetData>
    <row r="1" spans="1:27" x14ac:dyDescent="0.25">
      <c r="X1" s="1" t="s">
        <v>231</v>
      </c>
      <c r="Y1" s="1"/>
      <c r="Z1" s="1"/>
      <c r="AA1" s="1"/>
    </row>
    <row r="2" spans="1:27" x14ac:dyDescent="0.25">
      <c r="X2" s="1" t="s">
        <v>232</v>
      </c>
      <c r="Y2" s="1"/>
      <c r="Z2" s="1"/>
      <c r="AA2" s="1"/>
    </row>
    <row r="3" spans="1:27" x14ac:dyDescent="0.25">
      <c r="X3" s="1" t="s">
        <v>233</v>
      </c>
      <c r="Y3" s="1"/>
      <c r="Z3" s="1"/>
      <c r="AA3" s="1"/>
    </row>
    <row r="4" spans="1:27" x14ac:dyDescent="0.25">
      <c r="X4" s="1" t="s">
        <v>234</v>
      </c>
      <c r="Y4" s="1"/>
      <c r="Z4" s="1"/>
      <c r="AA4" s="1"/>
    </row>
    <row r="5" spans="1:27" ht="68.25" customHeight="1" x14ac:dyDescent="0.25">
      <c r="A5" s="324" t="s">
        <v>4</v>
      </c>
      <c r="B5" s="326" t="s">
        <v>71</v>
      </c>
      <c r="C5" s="327"/>
      <c r="D5" s="328"/>
      <c r="E5" s="290" t="s">
        <v>2</v>
      </c>
      <c r="F5" s="276" t="s">
        <v>11</v>
      </c>
      <c r="G5" s="284" t="s">
        <v>5</v>
      </c>
      <c r="H5" s="285"/>
      <c r="I5" s="285"/>
      <c r="J5" s="286"/>
      <c r="K5" s="284" t="s">
        <v>6</v>
      </c>
      <c r="L5" s="285"/>
      <c r="M5" s="285"/>
      <c r="N5" s="286"/>
      <c r="O5" s="284" t="s">
        <v>7</v>
      </c>
      <c r="P5" s="285"/>
      <c r="Q5" s="285"/>
      <c r="R5" s="286"/>
      <c r="S5" s="284" t="s">
        <v>15</v>
      </c>
      <c r="T5" s="285"/>
      <c r="U5" s="285"/>
      <c r="V5" s="286"/>
      <c r="W5" s="284" t="s">
        <v>16</v>
      </c>
      <c r="X5" s="285"/>
      <c r="Y5" s="285"/>
      <c r="Z5" s="286"/>
      <c r="AA5" s="281" t="s">
        <v>223</v>
      </c>
    </row>
    <row r="6" spans="1:27" ht="51" x14ac:dyDescent="0.25">
      <c r="A6" s="325"/>
      <c r="B6" s="329"/>
      <c r="C6" s="330"/>
      <c r="D6" s="331"/>
      <c r="E6" s="291"/>
      <c r="F6" s="277"/>
      <c r="G6" s="47" t="s">
        <v>12</v>
      </c>
      <c r="H6" s="47" t="s">
        <v>13</v>
      </c>
      <c r="I6" s="47" t="s">
        <v>14</v>
      </c>
      <c r="J6" s="47" t="s">
        <v>25</v>
      </c>
      <c r="K6" s="47" t="s">
        <v>12</v>
      </c>
      <c r="L6" s="47" t="s">
        <v>13</v>
      </c>
      <c r="M6" s="47" t="s">
        <v>14</v>
      </c>
      <c r="N6" s="47" t="s">
        <v>25</v>
      </c>
      <c r="O6" s="47" t="s">
        <v>12</v>
      </c>
      <c r="P6" s="47" t="s">
        <v>13</v>
      </c>
      <c r="Q6" s="47" t="s">
        <v>3</v>
      </c>
      <c r="R6" s="47" t="s">
        <v>25</v>
      </c>
      <c r="S6" s="47" t="s">
        <v>12</v>
      </c>
      <c r="T6" s="47" t="s">
        <v>13</v>
      </c>
      <c r="U6" s="47" t="s">
        <v>23</v>
      </c>
      <c r="V6" s="48" t="s">
        <v>25</v>
      </c>
      <c r="W6" s="47" t="s">
        <v>12</v>
      </c>
      <c r="X6" s="47" t="s">
        <v>13</v>
      </c>
      <c r="Y6" s="47" t="s">
        <v>23</v>
      </c>
      <c r="Z6" s="48" t="s">
        <v>25</v>
      </c>
      <c r="AA6" s="281"/>
    </row>
    <row r="7" spans="1:27" x14ac:dyDescent="0.25">
      <c r="A7" s="49" t="s">
        <v>8</v>
      </c>
      <c r="B7" s="287" t="s">
        <v>72</v>
      </c>
      <c r="C7" s="288"/>
      <c r="D7" s="289"/>
      <c r="E7" s="50" t="s">
        <v>73</v>
      </c>
      <c r="F7" s="51">
        <v>2900</v>
      </c>
      <c r="G7" s="51">
        <v>870</v>
      </c>
      <c r="H7" s="51">
        <f>F7*G7</f>
        <v>2523000</v>
      </c>
      <c r="I7" s="51">
        <v>11</v>
      </c>
      <c r="J7" s="51">
        <f>H7+20722+8197</f>
        <v>2551919</v>
      </c>
      <c r="K7" s="51">
        <v>294</v>
      </c>
      <c r="L7" s="51">
        <f>K7*F7-102600</f>
        <v>750000</v>
      </c>
      <c r="M7" s="51"/>
      <c r="N7" s="51">
        <f>L7</f>
        <v>750000</v>
      </c>
      <c r="O7" s="51">
        <v>281</v>
      </c>
      <c r="P7" s="51">
        <f>F7*O7</f>
        <v>814900</v>
      </c>
      <c r="Q7" s="51">
        <v>35</v>
      </c>
      <c r="R7" s="51">
        <v>1072828</v>
      </c>
      <c r="S7" s="51">
        <v>48</v>
      </c>
      <c r="T7" s="51">
        <f>F7*S7</f>
        <v>139200</v>
      </c>
      <c r="U7" s="51">
        <v>195</v>
      </c>
      <c r="V7" s="52">
        <v>215000</v>
      </c>
      <c r="W7" s="51">
        <v>114</v>
      </c>
      <c r="X7" s="51">
        <f>F7*W7</f>
        <v>330600</v>
      </c>
      <c r="Y7" s="51">
        <v>50</v>
      </c>
      <c r="Z7" s="53">
        <v>400000</v>
      </c>
      <c r="AA7" s="51">
        <f>J7+N7+R7+V7+Z7</f>
        <v>4989747</v>
      </c>
    </row>
    <row r="8" spans="1:27" x14ac:dyDescent="0.25">
      <c r="A8" s="49" t="s">
        <v>17</v>
      </c>
      <c r="B8" s="278" t="s">
        <v>79</v>
      </c>
      <c r="C8" s="279"/>
      <c r="D8" s="280"/>
      <c r="E8" s="50" t="s">
        <v>73</v>
      </c>
      <c r="F8" s="51"/>
      <c r="G8" s="51"/>
      <c r="H8" s="51">
        <v>650000</v>
      </c>
      <c r="I8" s="51"/>
      <c r="J8" s="51">
        <f>H8</f>
        <v>650000</v>
      </c>
      <c r="K8" s="51"/>
      <c r="L8" s="51">
        <v>150000</v>
      </c>
      <c r="M8" s="51"/>
      <c r="N8" s="51">
        <f>L8</f>
        <v>150000</v>
      </c>
      <c r="O8" s="51"/>
      <c r="P8" s="51">
        <v>63480</v>
      </c>
      <c r="Q8" s="51">
        <v>325</v>
      </c>
      <c r="R8" s="51">
        <v>150000</v>
      </c>
      <c r="S8" s="51"/>
      <c r="T8" s="51">
        <v>27370</v>
      </c>
      <c r="U8" s="51">
        <v>415</v>
      </c>
      <c r="V8" s="51">
        <v>35000</v>
      </c>
      <c r="W8" s="54"/>
      <c r="X8" s="51">
        <v>12190</v>
      </c>
      <c r="Y8" s="51"/>
      <c r="Z8" s="55">
        <v>100000</v>
      </c>
      <c r="AA8" s="51">
        <f t="shared" ref="AA8:AA20" si="0">J8+N8+R8+V8+Z8</f>
        <v>1085000</v>
      </c>
    </row>
    <row r="9" spans="1:27" x14ac:dyDescent="0.25">
      <c r="A9" s="49" t="s">
        <v>20</v>
      </c>
      <c r="B9" s="314" t="s">
        <v>80</v>
      </c>
      <c r="C9" s="315"/>
      <c r="D9" s="316"/>
      <c r="E9" s="50" t="s">
        <v>73</v>
      </c>
      <c r="F9" s="51">
        <v>700</v>
      </c>
      <c r="G9" s="51">
        <v>870</v>
      </c>
      <c r="H9" s="51">
        <f>F9*G9</f>
        <v>609000</v>
      </c>
      <c r="I9" s="51"/>
      <c r="J9" s="51">
        <f>H9+547</f>
        <v>609547</v>
      </c>
      <c r="K9" s="51"/>
      <c r="L9" s="51">
        <f>F9*K9</f>
        <v>0</v>
      </c>
      <c r="M9" s="51"/>
      <c r="N9" s="51">
        <v>399036</v>
      </c>
      <c r="O9" s="51"/>
      <c r="P9" s="51">
        <f>F9*O9</f>
        <v>0</v>
      </c>
      <c r="Q9" s="51">
        <v>13</v>
      </c>
      <c r="R9" s="51">
        <v>401823</v>
      </c>
      <c r="S9" s="51"/>
      <c r="T9" s="51">
        <f>F9*S9</f>
        <v>0</v>
      </c>
      <c r="U9" s="51">
        <v>45</v>
      </c>
      <c r="V9" s="51">
        <v>397564</v>
      </c>
      <c r="W9" s="51"/>
      <c r="X9" s="51">
        <f>W9*F9</f>
        <v>0</v>
      </c>
      <c r="Y9" s="51">
        <v>165</v>
      </c>
      <c r="Z9" s="55">
        <v>261300</v>
      </c>
      <c r="AA9" s="51">
        <f t="shared" si="0"/>
        <v>2069270</v>
      </c>
    </row>
    <row r="10" spans="1:27" x14ac:dyDescent="0.25">
      <c r="A10" s="49" t="s">
        <v>27</v>
      </c>
      <c r="B10" s="314" t="s">
        <v>81</v>
      </c>
      <c r="C10" s="315"/>
      <c r="D10" s="316"/>
      <c r="E10" s="50" t="s">
        <v>73</v>
      </c>
      <c r="F10" s="51"/>
      <c r="G10" s="51"/>
      <c r="H10" s="51">
        <f>F10*G9</f>
        <v>0</v>
      </c>
      <c r="I10" s="51"/>
      <c r="J10" s="51"/>
      <c r="K10" s="51"/>
      <c r="L10" s="51">
        <f>F10*K9</f>
        <v>0</v>
      </c>
      <c r="M10" s="51"/>
      <c r="N10" s="51"/>
      <c r="O10" s="51"/>
      <c r="P10" s="51">
        <f>O9*F10</f>
        <v>0</v>
      </c>
      <c r="Q10" s="51">
        <v>-54</v>
      </c>
      <c r="R10" s="51"/>
      <c r="S10" s="51"/>
      <c r="T10" s="51">
        <f>F10*S9</f>
        <v>0</v>
      </c>
      <c r="U10" s="51">
        <v>-40</v>
      </c>
      <c r="V10" s="51"/>
      <c r="W10" s="51"/>
      <c r="X10" s="51">
        <f>W9*F10</f>
        <v>0</v>
      </c>
      <c r="Y10" s="51">
        <v>-17</v>
      </c>
      <c r="Z10" s="55"/>
      <c r="AA10" s="51">
        <f t="shared" si="0"/>
        <v>0</v>
      </c>
    </row>
    <row r="11" spans="1:27" x14ac:dyDescent="0.25">
      <c r="A11" s="49" t="s">
        <v>83</v>
      </c>
      <c r="B11" s="314" t="s">
        <v>84</v>
      </c>
      <c r="C11" s="315"/>
      <c r="D11" s="316"/>
      <c r="E11" s="50" t="s">
        <v>73</v>
      </c>
      <c r="F11" s="51">
        <v>1800</v>
      </c>
      <c r="G11" s="51"/>
      <c r="H11" s="51">
        <f>F11*G9</f>
        <v>1566000</v>
      </c>
      <c r="I11" s="51">
        <v>-11</v>
      </c>
      <c r="J11" s="51">
        <f>H11-22511</f>
        <v>1543489</v>
      </c>
      <c r="K11" s="51"/>
      <c r="L11" s="51">
        <f>F11*K9</f>
        <v>0</v>
      </c>
      <c r="M11" s="51">
        <v>43</v>
      </c>
      <c r="N11" s="51">
        <v>797646</v>
      </c>
      <c r="O11" s="51"/>
      <c r="P11" s="51">
        <f>F11*O9</f>
        <v>0</v>
      </c>
      <c r="Q11" s="51">
        <v>73</v>
      </c>
      <c r="R11" s="51">
        <v>664337</v>
      </c>
      <c r="S11" s="51"/>
      <c r="T11" s="51">
        <f>F11*S9</f>
        <v>0</v>
      </c>
      <c r="U11" s="51">
        <v>272</v>
      </c>
      <c r="V11" s="51">
        <v>400000</v>
      </c>
      <c r="W11" s="51"/>
      <c r="X11" s="51">
        <f>F11*W9</f>
        <v>0</v>
      </c>
      <c r="Y11" s="51">
        <v>78</v>
      </c>
      <c r="Z11" s="55">
        <v>430000</v>
      </c>
      <c r="AA11" s="51">
        <f t="shared" si="0"/>
        <v>3835472</v>
      </c>
    </row>
    <row r="12" spans="1:27" x14ac:dyDescent="0.25">
      <c r="A12" s="56" t="s">
        <v>85</v>
      </c>
      <c r="B12" s="314" t="s">
        <v>86</v>
      </c>
      <c r="C12" s="315"/>
      <c r="D12" s="316"/>
      <c r="E12" s="50" t="s">
        <v>73</v>
      </c>
      <c r="F12" s="51">
        <v>120</v>
      </c>
      <c r="G12" s="51"/>
      <c r="H12" s="51">
        <f>F12*G9+2440</f>
        <v>106840</v>
      </c>
      <c r="I12" s="51"/>
      <c r="J12" s="51">
        <f>H12-2840</f>
        <v>104000</v>
      </c>
      <c r="K12" s="51"/>
      <c r="L12" s="51"/>
      <c r="M12" s="51"/>
      <c r="N12" s="51">
        <v>32000</v>
      </c>
      <c r="O12" s="51"/>
      <c r="P12" s="51"/>
      <c r="Q12" s="51"/>
      <c r="R12" s="51">
        <v>277432</v>
      </c>
      <c r="S12" s="51"/>
      <c r="T12" s="51"/>
      <c r="U12" s="51"/>
      <c r="V12" s="51">
        <v>23000</v>
      </c>
      <c r="W12" s="51"/>
      <c r="X12" s="51"/>
      <c r="Y12" s="51"/>
      <c r="Z12" s="55">
        <v>32000</v>
      </c>
      <c r="AA12" s="51">
        <f t="shared" si="0"/>
        <v>468432</v>
      </c>
    </row>
    <row r="13" spans="1:27" x14ac:dyDescent="0.25">
      <c r="A13" s="57" t="s">
        <v>87</v>
      </c>
      <c r="B13" s="321" t="s">
        <v>88</v>
      </c>
      <c r="C13" s="322"/>
      <c r="D13" s="323"/>
      <c r="E13" s="58" t="s">
        <v>73</v>
      </c>
      <c r="F13" s="59">
        <v>2150</v>
      </c>
      <c r="G13" s="59"/>
      <c r="H13" s="59">
        <f>F13*G9</f>
        <v>1870500</v>
      </c>
      <c r="I13" s="59"/>
      <c r="J13" s="59">
        <f>H13+20563</f>
        <v>1891063</v>
      </c>
      <c r="K13" s="59"/>
      <c r="L13" s="59">
        <f>K9*F13</f>
        <v>0</v>
      </c>
      <c r="M13" s="59"/>
      <c r="N13" s="59">
        <v>674499</v>
      </c>
      <c r="O13" s="59"/>
      <c r="P13" s="59">
        <f>F13*O9</f>
        <v>0</v>
      </c>
      <c r="Q13" s="59"/>
      <c r="R13" s="59">
        <v>429413</v>
      </c>
      <c r="S13" s="59"/>
      <c r="T13" s="59"/>
      <c r="U13" s="59"/>
      <c r="V13" s="59">
        <v>186000</v>
      </c>
      <c r="W13" s="59"/>
      <c r="X13" s="59">
        <f>W9*F13</f>
        <v>0</v>
      </c>
      <c r="Y13" s="59"/>
      <c r="Z13" s="60">
        <v>455024</v>
      </c>
      <c r="AA13" s="51">
        <f t="shared" si="0"/>
        <v>3635999</v>
      </c>
    </row>
    <row r="14" spans="1:27" x14ac:dyDescent="0.25">
      <c r="A14" s="56" t="s">
        <v>89</v>
      </c>
      <c r="B14" s="295" t="s">
        <v>95</v>
      </c>
      <c r="C14" s="295"/>
      <c r="D14" s="295"/>
      <c r="E14" s="58" t="s">
        <v>73</v>
      </c>
      <c r="F14" s="51">
        <v>100</v>
      </c>
      <c r="G14" s="51"/>
      <c r="H14" s="51">
        <f>F14*G9</f>
        <v>87000</v>
      </c>
      <c r="I14" s="51"/>
      <c r="J14" s="51">
        <f>H14-2448</f>
        <v>84552</v>
      </c>
      <c r="K14" s="51"/>
      <c r="L14" s="51">
        <f>F14*K9</f>
        <v>0</v>
      </c>
      <c r="M14" s="51"/>
      <c r="N14" s="51">
        <v>31200</v>
      </c>
      <c r="O14" s="51"/>
      <c r="P14" s="51">
        <f>F14*O9</f>
        <v>0</v>
      </c>
      <c r="Q14" s="51"/>
      <c r="R14" s="51">
        <v>28704</v>
      </c>
      <c r="S14" s="51"/>
      <c r="T14" s="51">
        <f>S9*F14</f>
        <v>0</v>
      </c>
      <c r="U14" s="51"/>
      <c r="V14" s="51">
        <v>6136</v>
      </c>
      <c r="W14" s="51"/>
      <c r="X14" s="51">
        <v>12900</v>
      </c>
      <c r="Y14" s="51"/>
      <c r="Z14" s="55">
        <v>13416</v>
      </c>
      <c r="AA14" s="51">
        <f t="shared" si="0"/>
        <v>164008</v>
      </c>
    </row>
    <row r="15" spans="1:27" x14ac:dyDescent="0.25">
      <c r="A15" s="49" t="s">
        <v>91</v>
      </c>
      <c r="B15" s="287" t="s">
        <v>96</v>
      </c>
      <c r="C15" s="288"/>
      <c r="D15" s="289"/>
      <c r="E15" s="58" t="s">
        <v>73</v>
      </c>
      <c r="F15" s="51"/>
      <c r="G15" s="51"/>
      <c r="H15" s="51"/>
      <c r="I15" s="51"/>
      <c r="J15" s="51">
        <v>82104</v>
      </c>
      <c r="K15" s="51"/>
      <c r="L15" s="51"/>
      <c r="M15" s="51"/>
      <c r="N15" s="51">
        <v>114448</v>
      </c>
      <c r="O15" s="51"/>
      <c r="P15" s="51"/>
      <c r="Q15" s="51"/>
      <c r="R15" s="51"/>
      <c r="S15" s="51"/>
      <c r="T15" s="51"/>
      <c r="U15" s="51"/>
      <c r="V15" s="51">
        <v>12448</v>
      </c>
      <c r="W15" s="51"/>
      <c r="X15" s="51"/>
      <c r="Y15" s="51"/>
      <c r="Z15" s="55"/>
      <c r="AA15" s="51">
        <f t="shared" si="0"/>
        <v>209000</v>
      </c>
    </row>
    <row r="16" spans="1:27" s="32" customFormat="1" ht="30" customHeight="1" x14ac:dyDescent="0.25">
      <c r="A16" s="49" t="s">
        <v>93</v>
      </c>
      <c r="B16" s="317" t="s">
        <v>222</v>
      </c>
      <c r="C16" s="318"/>
      <c r="D16" s="319"/>
      <c r="E16" s="58" t="s">
        <v>73</v>
      </c>
      <c r="F16" s="61"/>
      <c r="G16" s="61"/>
      <c r="H16" s="61"/>
      <c r="I16" s="61"/>
      <c r="J16" s="49">
        <f>1780000+40600</f>
        <v>1820600</v>
      </c>
      <c r="K16" s="61"/>
      <c r="L16" s="61"/>
      <c r="M16" s="61"/>
      <c r="N16" s="49">
        <v>836000</v>
      </c>
      <c r="O16" s="61"/>
      <c r="P16" s="61"/>
      <c r="Q16" s="61"/>
      <c r="R16" s="49">
        <v>512000</v>
      </c>
      <c r="S16" s="61"/>
      <c r="T16" s="61"/>
      <c r="U16" s="61"/>
      <c r="V16" s="49">
        <f>100000+6800</f>
        <v>106800</v>
      </c>
      <c r="W16" s="61"/>
      <c r="X16" s="61"/>
      <c r="Y16" s="61"/>
      <c r="Z16" s="62">
        <f>200000+27100</f>
        <v>227100</v>
      </c>
      <c r="AA16" s="51">
        <f t="shared" si="0"/>
        <v>3502500</v>
      </c>
    </row>
    <row r="17" spans="1:27" ht="27" customHeight="1" x14ac:dyDescent="0.25">
      <c r="A17" s="63" t="s">
        <v>99</v>
      </c>
      <c r="B17" s="340" t="s">
        <v>98</v>
      </c>
      <c r="C17" s="341"/>
      <c r="D17" s="342"/>
      <c r="E17" s="58" t="s">
        <v>73</v>
      </c>
      <c r="F17" s="64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60"/>
      <c r="AA17" s="51">
        <f t="shared" si="0"/>
        <v>0</v>
      </c>
    </row>
    <row r="18" spans="1:27" x14ac:dyDescent="0.25">
      <c r="A18" s="49" t="s">
        <v>100</v>
      </c>
      <c r="B18" s="287" t="s">
        <v>90</v>
      </c>
      <c r="C18" s="288"/>
      <c r="D18" s="289"/>
      <c r="E18" s="58" t="s">
        <v>73</v>
      </c>
      <c r="F18" s="61"/>
      <c r="G18" s="51"/>
      <c r="H18" s="51"/>
      <c r="I18" s="51"/>
      <c r="J18" s="51">
        <v>1187375</v>
      </c>
      <c r="K18" s="51"/>
      <c r="L18" s="51"/>
      <c r="M18" s="51"/>
      <c r="N18" s="51">
        <v>37249</v>
      </c>
      <c r="O18" s="51"/>
      <c r="P18" s="51"/>
      <c r="Q18" s="51"/>
      <c r="R18" s="51">
        <v>2909067</v>
      </c>
      <c r="S18" s="51"/>
      <c r="T18" s="51"/>
      <c r="U18" s="51"/>
      <c r="V18" s="51">
        <v>102196</v>
      </c>
      <c r="W18" s="51"/>
      <c r="X18" s="51"/>
      <c r="Y18" s="51"/>
      <c r="Z18" s="55">
        <v>1355612</v>
      </c>
      <c r="AA18" s="51">
        <f t="shared" si="0"/>
        <v>5591499</v>
      </c>
    </row>
    <row r="19" spans="1:27" x14ac:dyDescent="0.25">
      <c r="A19" s="63" t="s">
        <v>101</v>
      </c>
      <c r="B19" s="335" t="s">
        <v>102</v>
      </c>
      <c r="C19" s="335"/>
      <c r="D19" s="335"/>
      <c r="E19" s="58" t="s">
        <v>73</v>
      </c>
      <c r="F19" s="64"/>
      <c r="G19" s="59"/>
      <c r="H19" s="59"/>
      <c r="I19" s="59"/>
      <c r="J19" s="59">
        <v>5174659</v>
      </c>
      <c r="K19" s="59"/>
      <c r="L19" s="59"/>
      <c r="M19" s="59"/>
      <c r="N19" s="59">
        <v>2685528</v>
      </c>
      <c r="O19" s="59"/>
      <c r="P19" s="59"/>
      <c r="Q19" s="59"/>
      <c r="R19" s="59">
        <v>3223779</v>
      </c>
      <c r="S19" s="59"/>
      <c r="T19" s="59"/>
      <c r="U19" s="59"/>
      <c r="V19" s="59">
        <v>850000</v>
      </c>
      <c r="W19" s="59"/>
      <c r="X19" s="59"/>
      <c r="Y19" s="59"/>
      <c r="Z19" s="60">
        <v>2041307</v>
      </c>
      <c r="AA19" s="51">
        <f t="shared" si="0"/>
        <v>13975273</v>
      </c>
    </row>
    <row r="20" spans="1:27" x14ac:dyDescent="0.25">
      <c r="A20" s="49" t="s">
        <v>220</v>
      </c>
      <c r="B20" s="385" t="s">
        <v>221</v>
      </c>
      <c r="C20" s="386"/>
      <c r="D20" s="387"/>
      <c r="E20" s="58" t="s">
        <v>73</v>
      </c>
      <c r="F20" s="64"/>
      <c r="G20" s="59"/>
      <c r="H20" s="59"/>
      <c r="I20" s="59"/>
      <c r="J20" s="59">
        <v>465700</v>
      </c>
      <c r="K20" s="59"/>
      <c r="L20" s="59"/>
      <c r="M20" s="59"/>
      <c r="N20" s="59">
        <v>78400</v>
      </c>
      <c r="O20" s="59"/>
      <c r="P20" s="59"/>
      <c r="Q20" s="59"/>
      <c r="R20" s="59">
        <v>472100</v>
      </c>
      <c r="S20" s="59"/>
      <c r="T20" s="59"/>
      <c r="U20" s="59"/>
      <c r="V20" s="59"/>
      <c r="W20" s="59"/>
      <c r="X20" s="59"/>
      <c r="Y20" s="59"/>
      <c r="Z20" s="60"/>
      <c r="AA20" s="51">
        <f t="shared" si="0"/>
        <v>1016200</v>
      </c>
    </row>
    <row r="21" spans="1:27" x14ac:dyDescent="0.25">
      <c r="A21" s="336" t="s">
        <v>103</v>
      </c>
      <c r="B21" s="337"/>
      <c r="C21" s="337"/>
      <c r="D21" s="338"/>
      <c r="E21" s="65"/>
      <c r="F21" s="65"/>
      <c r="G21" s="65"/>
      <c r="H21" s="65"/>
      <c r="I21" s="65"/>
      <c r="J21" s="65">
        <f>SUM(J7:J20)</f>
        <v>16165008</v>
      </c>
      <c r="K21" s="65"/>
      <c r="L21" s="65"/>
      <c r="M21" s="65"/>
      <c r="N21" s="65">
        <f>SUM(N7:N20)</f>
        <v>6586006</v>
      </c>
      <c r="O21" s="65"/>
      <c r="P21" s="65"/>
      <c r="Q21" s="65"/>
      <c r="R21" s="65">
        <f>SUM(R7:R20)</f>
        <v>10141483</v>
      </c>
      <c r="S21" s="65"/>
      <c r="T21" s="65"/>
      <c r="U21" s="65"/>
      <c r="V21" s="65">
        <f>SUM(V7:V20)</f>
        <v>2334144</v>
      </c>
      <c r="W21" s="65"/>
      <c r="X21" s="65"/>
      <c r="Y21" s="65"/>
      <c r="Z21" s="65">
        <f>SUM(Z7:Z20)</f>
        <v>5315759</v>
      </c>
      <c r="AA21" s="65">
        <f>J21+N21+R21+V21+Z21</f>
        <v>40542400</v>
      </c>
    </row>
    <row r="22" spans="1:27" x14ac:dyDescent="0.25">
      <c r="A22" s="54"/>
      <c r="B22" s="54" t="s">
        <v>113</v>
      </c>
      <c r="C22" s="54"/>
      <c r="D22" s="54"/>
      <c r="E22" s="54"/>
      <c r="F22" s="54"/>
      <c r="G22" s="54"/>
      <c r="H22" s="54"/>
      <c r="I22" s="54"/>
      <c r="J22" s="54">
        <f>J21/G9</f>
        <v>18580.468965517241</v>
      </c>
      <c r="K22" s="54"/>
      <c r="L22" s="54"/>
      <c r="M22" s="54"/>
      <c r="N22" s="54">
        <f>N21/300</f>
        <v>21953.353333333333</v>
      </c>
      <c r="O22" s="54"/>
      <c r="P22" s="54"/>
      <c r="Q22" s="54"/>
      <c r="R22" s="54">
        <f>R21/O7</f>
        <v>36090.686832740212</v>
      </c>
      <c r="S22" s="54"/>
      <c r="T22" s="54"/>
      <c r="U22" s="54"/>
      <c r="V22" s="54">
        <f>V21/S7</f>
        <v>48628</v>
      </c>
      <c r="W22" s="54"/>
      <c r="X22" s="54"/>
      <c r="Y22" s="54"/>
      <c r="Z22" s="54">
        <f>Z21/W7</f>
        <v>46629.464912280702</v>
      </c>
      <c r="AA22" s="66">
        <f>J22+N22+R22+V22+Z22</f>
        <v>171881.97404387148</v>
      </c>
    </row>
    <row r="25" spans="1:27" ht="30" x14ac:dyDescent="0.25">
      <c r="A25" s="305" t="s">
        <v>224</v>
      </c>
      <c r="B25" s="306"/>
      <c r="C25" s="306"/>
      <c r="D25" s="306"/>
      <c r="E25" s="306"/>
      <c r="F25" s="306"/>
      <c r="G25" s="306"/>
      <c r="H25" s="306"/>
      <c r="I25" s="307"/>
      <c r="J25" s="45" t="s">
        <v>185</v>
      </c>
      <c r="K25" s="45" t="s">
        <v>186</v>
      </c>
      <c r="L25" s="44" t="s">
        <v>187</v>
      </c>
      <c r="M25" s="45" t="s">
        <v>188</v>
      </c>
      <c r="N25" s="45" t="s">
        <v>189</v>
      </c>
      <c r="O25" s="45" t="s">
        <v>183</v>
      </c>
    </row>
    <row r="26" spans="1:27" x14ac:dyDescent="0.25">
      <c r="A26" s="305" t="s">
        <v>170</v>
      </c>
      <c r="B26" s="306"/>
      <c r="C26" s="306"/>
      <c r="D26" s="306"/>
      <c r="E26" s="306"/>
      <c r="F26" s="306"/>
      <c r="G26" s="306"/>
      <c r="H26" s="306"/>
      <c r="I26" s="307"/>
      <c r="J26" s="3">
        <f>SUM(J27:J29)</f>
        <v>7649938</v>
      </c>
      <c r="K26" s="3">
        <f t="shared" ref="K26:O26" si="1">SUM(K27:K29)</f>
        <v>2666547</v>
      </c>
      <c r="L26" s="3">
        <f t="shared" si="1"/>
        <v>2942477</v>
      </c>
      <c r="M26" s="3">
        <f t="shared" si="1"/>
        <v>584384</v>
      </c>
      <c r="N26" s="3">
        <f t="shared" si="1"/>
        <v>1227540</v>
      </c>
      <c r="O26" s="3">
        <f t="shared" si="1"/>
        <v>15070886</v>
      </c>
    </row>
    <row r="27" spans="1:27" ht="30" customHeight="1" x14ac:dyDescent="0.25">
      <c r="A27" s="308" t="s">
        <v>178</v>
      </c>
      <c r="B27" s="309"/>
      <c r="C27" s="309"/>
      <c r="D27" s="309"/>
      <c r="E27" s="309"/>
      <c r="F27" s="309"/>
      <c r="G27" s="309"/>
      <c r="H27" s="309"/>
      <c r="I27" s="310"/>
      <c r="J27" s="3"/>
      <c r="K27" s="3"/>
      <c r="L27" s="3"/>
      <c r="M27" s="3"/>
      <c r="N27" s="3"/>
      <c r="O27" s="3"/>
    </row>
    <row r="28" spans="1:27" ht="17.25" customHeight="1" x14ac:dyDescent="0.25">
      <c r="A28" s="296" t="s">
        <v>176</v>
      </c>
      <c r="B28" s="297"/>
      <c r="C28" s="297"/>
      <c r="D28" s="297"/>
      <c r="E28" s="297"/>
      <c r="F28" s="297"/>
      <c r="G28" s="297"/>
      <c r="H28" s="297"/>
      <c r="I28" s="298"/>
      <c r="J28" s="43">
        <f>J12+J13+J16</f>
        <v>3815663</v>
      </c>
      <c r="K28" s="43">
        <f>N12+N13+N16+N20</f>
        <v>1620899</v>
      </c>
      <c r="L28" s="43">
        <f>R12+R13+R16</f>
        <v>1218845</v>
      </c>
      <c r="M28" s="43">
        <f>V12+V13+V16+V20</f>
        <v>315800</v>
      </c>
      <c r="N28" s="43">
        <f>Z12+Z13+Z16+Z20</f>
        <v>714124</v>
      </c>
      <c r="O28" s="43">
        <f>SUM(J28:N28)</f>
        <v>7685331</v>
      </c>
    </row>
    <row r="29" spans="1:27" x14ac:dyDescent="0.25">
      <c r="A29" s="296" t="s">
        <v>175</v>
      </c>
      <c r="B29" s="297"/>
      <c r="C29" s="297"/>
      <c r="D29" s="297"/>
      <c r="E29" s="297"/>
      <c r="F29" s="297"/>
      <c r="G29" s="297"/>
      <c r="H29" s="297"/>
      <c r="I29" s="298"/>
      <c r="J29" s="43">
        <f>J7+J8+J14+J15+J20</f>
        <v>3834275</v>
      </c>
      <c r="K29" s="43">
        <f>N7+N8+N14+N15</f>
        <v>1045648</v>
      </c>
      <c r="L29" s="43">
        <f>R7+R8+R20+R14</f>
        <v>1723632</v>
      </c>
      <c r="M29" s="43">
        <f>V7+V8+V14+V15</f>
        <v>268584</v>
      </c>
      <c r="N29" s="43">
        <f>Z7+Z8+Z14+Z15</f>
        <v>513416</v>
      </c>
      <c r="O29" s="43">
        <f>SUM(J29:N29)</f>
        <v>7385555</v>
      </c>
    </row>
    <row r="30" spans="1:27" x14ac:dyDescent="0.25">
      <c r="A30" s="311" t="s">
        <v>177</v>
      </c>
      <c r="B30" s="312"/>
      <c r="C30" s="312"/>
      <c r="D30" s="312"/>
      <c r="E30" s="312"/>
      <c r="F30" s="312"/>
      <c r="G30" s="312"/>
      <c r="H30" s="312"/>
      <c r="I30" s="313"/>
      <c r="J30" s="43">
        <f t="shared" ref="J30:O30" si="2">SUM(J31:J40)</f>
        <v>8515070</v>
      </c>
      <c r="K30" s="43">
        <f t="shared" si="2"/>
        <v>3919459</v>
      </c>
      <c r="L30" s="43">
        <f t="shared" si="2"/>
        <v>7199006</v>
      </c>
      <c r="M30" s="43">
        <f t="shared" si="2"/>
        <v>1749760</v>
      </c>
      <c r="N30" s="43">
        <f t="shared" si="2"/>
        <v>4088219</v>
      </c>
      <c r="O30" s="43">
        <f t="shared" si="2"/>
        <v>25471514</v>
      </c>
    </row>
    <row r="31" spans="1:27" ht="48" customHeight="1" x14ac:dyDescent="0.25">
      <c r="A31" s="308" t="s">
        <v>179</v>
      </c>
      <c r="B31" s="309"/>
      <c r="C31" s="309"/>
      <c r="D31" s="309"/>
      <c r="E31" s="309"/>
      <c r="F31" s="309"/>
      <c r="G31" s="309"/>
      <c r="H31" s="309"/>
      <c r="I31" s="310"/>
      <c r="J31" s="43"/>
      <c r="K31" s="43"/>
      <c r="L31" s="43"/>
      <c r="M31" s="43"/>
      <c r="N31" s="43"/>
      <c r="O31" s="3"/>
    </row>
    <row r="32" spans="1:27" x14ac:dyDescent="0.25">
      <c r="A32" s="296" t="s">
        <v>171</v>
      </c>
      <c r="B32" s="297"/>
      <c r="C32" s="297"/>
      <c r="D32" s="297"/>
      <c r="E32" s="297"/>
      <c r="F32" s="297"/>
      <c r="G32" s="297"/>
      <c r="H32" s="297"/>
      <c r="I32" s="298"/>
      <c r="J32" s="43"/>
      <c r="K32" s="43"/>
      <c r="L32" s="43"/>
      <c r="M32" s="43"/>
      <c r="N32" s="43"/>
      <c r="O32" s="3"/>
    </row>
    <row r="33" spans="1:28" x14ac:dyDescent="0.25">
      <c r="A33" s="36" t="s">
        <v>172</v>
      </c>
      <c r="B33" s="37"/>
      <c r="C33" s="37"/>
      <c r="D33" s="37"/>
      <c r="E33" s="37"/>
      <c r="F33" s="37"/>
      <c r="G33" s="37"/>
      <c r="H33" s="37"/>
      <c r="I33" s="38"/>
      <c r="J33" s="43">
        <f>798262*90%</f>
        <v>718435.8</v>
      </c>
      <c r="K33" s="43">
        <f>412694*90%</f>
        <v>371424.60000000003</v>
      </c>
      <c r="L33" s="43">
        <f>1489855*90%</f>
        <v>1340869.5</v>
      </c>
      <c r="M33" s="43">
        <f>241573*90%</f>
        <v>217415.7</v>
      </c>
      <c r="N33" s="43">
        <f>380760*90%</f>
        <v>342684</v>
      </c>
      <c r="O33" s="43">
        <f>SUM(J33:N33)</f>
        <v>2990829.6000000006</v>
      </c>
    </row>
    <row r="34" spans="1:28" x14ac:dyDescent="0.25">
      <c r="A34" s="296" t="s">
        <v>173</v>
      </c>
      <c r="B34" s="297"/>
      <c r="C34" s="297"/>
      <c r="D34" s="297"/>
      <c r="E34" s="297"/>
      <c r="F34" s="297"/>
      <c r="G34" s="297"/>
      <c r="H34" s="297"/>
      <c r="I34" s="298"/>
      <c r="J34" s="43">
        <f>3698572*50%</f>
        <v>1849286</v>
      </c>
      <c r="K34" s="43">
        <f>1828659*50%</f>
        <v>914329.5</v>
      </c>
      <c r="L34" s="43">
        <f>1403113*50%</f>
        <v>701556.5</v>
      </c>
      <c r="M34" s="43">
        <f>1376643*50%</f>
        <v>688321.5</v>
      </c>
      <c r="N34" s="43">
        <f>1192517*50%</f>
        <v>596258.5</v>
      </c>
      <c r="O34" s="43">
        <f t="shared" ref="O34:O35" si="3">SUM(J34:N34)</f>
        <v>4749752</v>
      </c>
    </row>
    <row r="35" spans="1:28" x14ac:dyDescent="0.25">
      <c r="A35" s="296" t="s">
        <v>174</v>
      </c>
      <c r="B35" s="297"/>
      <c r="C35" s="297"/>
      <c r="D35" s="297"/>
      <c r="E35" s="297"/>
      <c r="F35" s="297"/>
      <c r="G35" s="297"/>
      <c r="H35" s="297"/>
      <c r="I35" s="298"/>
      <c r="J35" s="43">
        <f>194595+283230</f>
        <v>477825</v>
      </c>
      <c r="K35" s="43">
        <f>99441+144734</f>
        <v>244175</v>
      </c>
      <c r="L35" s="43">
        <f>183953+267218</f>
        <v>451171</v>
      </c>
      <c r="M35" s="43">
        <v>134085</v>
      </c>
      <c r="N35" s="43">
        <f>109156+158874</f>
        <v>268030</v>
      </c>
      <c r="O35" s="43">
        <f t="shared" si="3"/>
        <v>1575286</v>
      </c>
    </row>
    <row r="36" spans="1:28" x14ac:dyDescent="0.25">
      <c r="A36" s="296" t="s">
        <v>180</v>
      </c>
      <c r="B36" s="297"/>
      <c r="C36" s="297"/>
      <c r="D36" s="297"/>
      <c r="E36" s="297"/>
      <c r="F36" s="297"/>
      <c r="G36" s="297"/>
      <c r="H36" s="297"/>
      <c r="I36" s="298"/>
      <c r="J36" s="43"/>
      <c r="K36" s="43"/>
      <c r="L36" s="43"/>
      <c r="M36" s="43"/>
      <c r="N36" s="43"/>
      <c r="O36" s="3"/>
    </row>
    <row r="37" spans="1:28" ht="15.75" customHeight="1" x14ac:dyDescent="0.25">
      <c r="A37" s="296" t="s">
        <v>181</v>
      </c>
      <c r="B37" s="297"/>
      <c r="C37" s="297"/>
      <c r="D37" s="297"/>
      <c r="E37" s="297"/>
      <c r="F37" s="297"/>
      <c r="G37" s="297"/>
      <c r="H37" s="297"/>
      <c r="I37" s="298"/>
      <c r="J37" s="43"/>
      <c r="K37" s="43"/>
      <c r="L37" s="43"/>
      <c r="M37" s="43"/>
      <c r="N37" s="43"/>
      <c r="O37" s="3"/>
    </row>
    <row r="38" spans="1:28" ht="15" customHeight="1" x14ac:dyDescent="0.25">
      <c r="A38" s="299" t="s">
        <v>182</v>
      </c>
      <c r="B38" s="300"/>
      <c r="C38" s="300"/>
      <c r="D38" s="300"/>
      <c r="E38" s="300"/>
      <c r="F38" s="300"/>
      <c r="G38" s="300"/>
      <c r="H38" s="300"/>
      <c r="I38" s="301"/>
      <c r="J38" s="43"/>
      <c r="K38" s="43"/>
      <c r="L38" s="43"/>
      <c r="M38" s="43"/>
      <c r="N38" s="43"/>
      <c r="O38" s="3"/>
    </row>
    <row r="39" spans="1:28" x14ac:dyDescent="0.25">
      <c r="A39" s="302"/>
      <c r="B39" s="303"/>
      <c r="C39" s="303"/>
      <c r="D39" s="303"/>
      <c r="E39" s="303"/>
      <c r="F39" s="303"/>
      <c r="G39" s="303"/>
      <c r="H39" s="303"/>
      <c r="I39" s="304"/>
      <c r="J39" s="43">
        <f>(J19-J33-J34-J35)+J9+J18-1500000+J11-19200</f>
        <v>3950323.2</v>
      </c>
      <c r="K39" s="43">
        <f>N9+N18+N19-K33-K34-K35+N11-470220-11400</f>
        <v>1907909.9</v>
      </c>
      <c r="L39" s="43">
        <f>R9+R11+R18+R19-L33-L34-L35-6200-393611</f>
        <v>4305598</v>
      </c>
      <c r="M39" s="43">
        <f>V9+V11+V18+V19-M33-M34-M35-M40</f>
        <v>414453.80000000005</v>
      </c>
      <c r="N39" s="43">
        <f>Z9+Z11+Z18+Z19-N33-N34-N35-6500-40884</f>
        <v>2833862.5</v>
      </c>
      <c r="O39" s="43">
        <f>SUM(J39:N39)</f>
        <v>13412147.4</v>
      </c>
    </row>
    <row r="40" spans="1:28" x14ac:dyDescent="0.25">
      <c r="A40" s="296" t="s">
        <v>175</v>
      </c>
      <c r="B40" s="297"/>
      <c r="C40" s="297"/>
      <c r="D40" s="297"/>
      <c r="E40" s="297"/>
      <c r="F40" s="297"/>
      <c r="G40" s="297"/>
      <c r="H40" s="297"/>
      <c r="I40" s="298"/>
      <c r="J40" s="43">
        <f>1500000+19200</f>
        <v>1519200</v>
      </c>
      <c r="K40" s="43">
        <f>470220+11400</f>
        <v>481620</v>
      </c>
      <c r="L40" s="43">
        <f>6200+63773+329838</f>
        <v>399811</v>
      </c>
      <c r="M40" s="43">
        <f>188884+106600</f>
        <v>295484</v>
      </c>
      <c r="N40" s="43">
        <f>6500+40884</f>
        <v>47384</v>
      </c>
      <c r="O40" s="43">
        <f t="shared" ref="O40:O41" si="4">SUM(J40:N40)</f>
        <v>2743499</v>
      </c>
      <c r="S40" s="31"/>
    </row>
    <row r="41" spans="1:28" x14ac:dyDescent="0.25">
      <c r="A41" s="296" t="s">
        <v>183</v>
      </c>
      <c r="B41" s="297"/>
      <c r="C41" s="297"/>
      <c r="D41" s="297"/>
      <c r="E41" s="297"/>
      <c r="F41" s="297"/>
      <c r="G41" s="297"/>
      <c r="H41" s="297"/>
      <c r="I41" s="298"/>
      <c r="J41" s="43">
        <f>J26+J30</f>
        <v>16165008</v>
      </c>
      <c r="K41" s="43">
        <f>K26+K30</f>
        <v>6586006</v>
      </c>
      <c r="L41" s="43">
        <f>L26+L30</f>
        <v>10141483</v>
      </c>
      <c r="M41" s="43">
        <f>M26+M30</f>
        <v>2334144</v>
      </c>
      <c r="N41" s="43">
        <f>N26+N30</f>
        <v>5315759</v>
      </c>
      <c r="O41" s="43">
        <f t="shared" si="4"/>
        <v>40542400</v>
      </c>
      <c r="Q41" s="31"/>
    </row>
    <row r="42" spans="1:28" x14ac:dyDescent="0.25">
      <c r="A42" s="296" t="s">
        <v>184</v>
      </c>
      <c r="B42" s="297"/>
      <c r="C42" s="297"/>
      <c r="D42" s="297"/>
      <c r="E42" s="297"/>
      <c r="F42" s="297"/>
      <c r="G42" s="297"/>
      <c r="H42" s="297"/>
      <c r="I42" s="298"/>
      <c r="J42" s="43">
        <f>J41/G7</f>
        <v>18580.468965517241</v>
      </c>
      <c r="K42" s="43">
        <f>K41/300</f>
        <v>21953.353333333333</v>
      </c>
      <c r="L42" s="43">
        <f>L41/O7</f>
        <v>36090.686832740212</v>
      </c>
      <c r="M42" s="43">
        <f>M41/59</f>
        <v>39561.762711864409</v>
      </c>
      <c r="N42" s="43">
        <f>N41/W7</f>
        <v>46629.464912280702</v>
      </c>
      <c r="O42" s="3"/>
    </row>
    <row r="43" spans="1:28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1"/>
      <c r="K43" s="31"/>
      <c r="L43" s="31"/>
      <c r="M43" s="31"/>
      <c r="N43" s="31"/>
    </row>
    <row r="44" spans="1:28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1"/>
      <c r="K44" s="31"/>
      <c r="L44" s="31"/>
      <c r="M44" s="31"/>
      <c r="N44" s="31"/>
      <c r="V44" s="1" t="s">
        <v>235</v>
      </c>
      <c r="W44" s="1"/>
      <c r="X44" s="1"/>
      <c r="Y44" s="1"/>
    </row>
    <row r="45" spans="1:28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1"/>
      <c r="K45" s="31"/>
      <c r="L45" s="31"/>
      <c r="M45" s="31"/>
      <c r="N45" s="31"/>
      <c r="V45" s="1" t="s">
        <v>232</v>
      </c>
      <c r="W45" s="1"/>
      <c r="X45" s="1"/>
      <c r="Y45" s="1"/>
    </row>
    <row r="46" spans="1:28" x14ac:dyDescent="0.25">
      <c r="A46" s="32"/>
      <c r="B46" s="32"/>
      <c r="C46" s="32"/>
      <c r="D46" s="32"/>
      <c r="E46" s="32"/>
      <c r="F46" s="32"/>
      <c r="G46" s="32"/>
      <c r="H46" s="32"/>
      <c r="I46" s="32"/>
      <c r="J46" s="31"/>
      <c r="K46" s="31"/>
      <c r="L46" s="31"/>
      <c r="M46" s="31"/>
      <c r="N46" s="31"/>
      <c r="V46" s="1" t="s">
        <v>233</v>
      </c>
      <c r="W46" s="1"/>
      <c r="X46" s="1"/>
      <c r="Y46" s="1"/>
    </row>
    <row r="47" spans="1:28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1"/>
      <c r="K47" s="31"/>
      <c r="L47" s="31"/>
      <c r="M47" s="31"/>
      <c r="N47" s="31"/>
      <c r="V47" s="1" t="s">
        <v>234</v>
      </c>
      <c r="W47" s="1"/>
      <c r="X47" s="1"/>
      <c r="Y47" s="1"/>
    </row>
    <row r="48" spans="1:28" x14ac:dyDescent="0.25">
      <c r="A48" s="67"/>
      <c r="B48" s="67"/>
      <c r="C48" s="67"/>
      <c r="D48" s="67"/>
      <c r="E48" s="67"/>
      <c r="F48" s="67"/>
      <c r="G48" s="67"/>
      <c r="H48" s="67"/>
      <c r="I48" s="67"/>
      <c r="J48" s="67" t="s">
        <v>217</v>
      </c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9"/>
    </row>
    <row r="49" spans="1:28" ht="26.25" customHeight="1" x14ac:dyDescent="0.25">
      <c r="A49" s="324" t="s">
        <v>4</v>
      </c>
      <c r="B49" s="326" t="s">
        <v>71</v>
      </c>
      <c r="C49" s="327"/>
      <c r="D49" s="328"/>
      <c r="E49" s="290" t="s">
        <v>2</v>
      </c>
      <c r="F49" s="276" t="s">
        <v>82</v>
      </c>
      <c r="G49" s="284" t="s">
        <v>74</v>
      </c>
      <c r="H49" s="285"/>
      <c r="I49" s="285"/>
      <c r="J49" s="286"/>
      <c r="K49" s="284" t="s">
        <v>75</v>
      </c>
      <c r="L49" s="285"/>
      <c r="M49" s="285"/>
      <c r="N49" s="286"/>
      <c r="O49" s="284" t="s">
        <v>76</v>
      </c>
      <c r="P49" s="285"/>
      <c r="Q49" s="285"/>
      <c r="R49" s="286"/>
      <c r="S49" s="284" t="s">
        <v>77</v>
      </c>
      <c r="T49" s="285"/>
      <c r="U49" s="285"/>
      <c r="V49" s="286"/>
      <c r="W49" s="284" t="s">
        <v>78</v>
      </c>
      <c r="X49" s="285"/>
      <c r="Y49" s="285"/>
      <c r="Z49" s="286"/>
      <c r="AA49" s="281" t="s">
        <v>103</v>
      </c>
      <c r="AB49" s="9"/>
    </row>
    <row r="50" spans="1:28" ht="51" x14ac:dyDescent="0.25">
      <c r="A50" s="325"/>
      <c r="B50" s="329"/>
      <c r="C50" s="330"/>
      <c r="D50" s="331"/>
      <c r="E50" s="291"/>
      <c r="F50" s="277"/>
      <c r="G50" s="47" t="s">
        <v>29</v>
      </c>
      <c r="H50" s="47" t="s">
        <v>13</v>
      </c>
      <c r="I50" s="47" t="s">
        <v>14</v>
      </c>
      <c r="J50" s="47" t="s">
        <v>25</v>
      </c>
      <c r="K50" s="47" t="s">
        <v>12</v>
      </c>
      <c r="L50" s="47" t="s">
        <v>13</v>
      </c>
      <c r="M50" s="47" t="s">
        <v>14</v>
      </c>
      <c r="N50" s="47" t="s">
        <v>25</v>
      </c>
      <c r="O50" s="47" t="s">
        <v>12</v>
      </c>
      <c r="P50" s="47" t="s">
        <v>13</v>
      </c>
      <c r="Q50" s="47" t="s">
        <v>3</v>
      </c>
      <c r="R50" s="47" t="s">
        <v>25</v>
      </c>
      <c r="S50" s="47" t="s">
        <v>12</v>
      </c>
      <c r="T50" s="47" t="s">
        <v>13</v>
      </c>
      <c r="U50" s="47" t="s">
        <v>23</v>
      </c>
      <c r="V50" s="48" t="s">
        <v>25</v>
      </c>
      <c r="W50" s="47" t="s">
        <v>12</v>
      </c>
      <c r="X50" s="47" t="s">
        <v>13</v>
      </c>
      <c r="Y50" s="47" t="s">
        <v>23</v>
      </c>
      <c r="Z50" s="47" t="s">
        <v>25</v>
      </c>
      <c r="AA50" s="281"/>
      <c r="AB50" s="13"/>
    </row>
    <row r="51" spans="1:28" x14ac:dyDescent="0.25">
      <c r="A51" s="56" t="s">
        <v>8</v>
      </c>
      <c r="B51" s="278" t="s">
        <v>72</v>
      </c>
      <c r="C51" s="279"/>
      <c r="D51" s="280"/>
      <c r="E51" s="68" t="s">
        <v>73</v>
      </c>
      <c r="F51" s="69">
        <v>2600</v>
      </c>
      <c r="G51" s="69">
        <v>236</v>
      </c>
      <c r="H51" s="69">
        <f>F51*G51</f>
        <v>613600</v>
      </c>
      <c r="I51" s="69">
        <v>-4</v>
      </c>
      <c r="J51" s="69">
        <f>609988-20000</f>
        <v>589988</v>
      </c>
      <c r="K51" s="69">
        <v>53</v>
      </c>
      <c r="L51" s="69">
        <f>F51*K51</f>
        <v>137800</v>
      </c>
      <c r="M51" s="69">
        <v>60</v>
      </c>
      <c r="N51" s="69">
        <f>250270-20000</f>
        <v>230270</v>
      </c>
      <c r="O51" s="69">
        <v>89</v>
      </c>
      <c r="P51" s="69">
        <f>F51*O51</f>
        <v>231400</v>
      </c>
      <c r="Q51" s="69">
        <v>70</v>
      </c>
      <c r="R51" s="70">
        <f>422920-30000</f>
        <v>392920</v>
      </c>
      <c r="S51" s="69">
        <v>133</v>
      </c>
      <c r="T51" s="69">
        <f>S51*F51</f>
        <v>345800</v>
      </c>
      <c r="U51" s="69">
        <v>10</v>
      </c>
      <c r="V51" s="71">
        <f>466184-50000</f>
        <v>416184</v>
      </c>
      <c r="W51" s="69">
        <v>81</v>
      </c>
      <c r="X51" s="69">
        <f>F51*W51</f>
        <v>210600</v>
      </c>
      <c r="Y51" s="69">
        <v>55</v>
      </c>
      <c r="Z51" s="71">
        <f>369651-30000</f>
        <v>339651</v>
      </c>
      <c r="AA51" s="71">
        <f>J51+N51+R51+V51+Z51</f>
        <v>1969013</v>
      </c>
      <c r="AB51" s="9"/>
    </row>
    <row r="52" spans="1:28" x14ac:dyDescent="0.25">
      <c r="A52" s="56" t="s">
        <v>17</v>
      </c>
      <c r="B52" s="278" t="s">
        <v>79</v>
      </c>
      <c r="C52" s="279"/>
      <c r="D52" s="280"/>
      <c r="E52" s="69"/>
      <c r="F52" s="69"/>
      <c r="G52" s="69"/>
      <c r="H52" s="69"/>
      <c r="I52" s="69"/>
      <c r="J52" s="69">
        <v>20000</v>
      </c>
      <c r="K52" s="69"/>
      <c r="L52" s="69"/>
      <c r="M52" s="69"/>
      <c r="N52" s="69">
        <v>20000</v>
      </c>
      <c r="O52" s="69"/>
      <c r="P52" s="69"/>
      <c r="Q52" s="69"/>
      <c r="R52" s="70">
        <v>30000</v>
      </c>
      <c r="S52" s="69"/>
      <c r="T52" s="69"/>
      <c r="U52" s="69"/>
      <c r="V52" s="71">
        <v>50000</v>
      </c>
      <c r="W52" s="69"/>
      <c r="X52" s="69"/>
      <c r="Y52" s="69"/>
      <c r="Z52" s="71">
        <v>30000</v>
      </c>
      <c r="AA52" s="71">
        <f t="shared" ref="AA52:AA63" si="5">J52+N52+R52+V52+Z52</f>
        <v>150000</v>
      </c>
      <c r="AB52" s="9"/>
    </row>
    <row r="53" spans="1:28" x14ac:dyDescent="0.25">
      <c r="A53" s="56" t="s">
        <v>20</v>
      </c>
      <c r="B53" s="314" t="s">
        <v>80</v>
      </c>
      <c r="C53" s="315"/>
      <c r="D53" s="316"/>
      <c r="E53" s="68" t="s">
        <v>73</v>
      </c>
      <c r="F53" s="69">
        <v>3500</v>
      </c>
      <c r="G53" s="69"/>
      <c r="H53" s="69">
        <f>F53*G53</f>
        <v>0</v>
      </c>
      <c r="I53" s="282">
        <v>10</v>
      </c>
      <c r="J53" s="282">
        <v>916994</v>
      </c>
      <c r="K53" s="69"/>
      <c r="L53" s="69">
        <f>F53*K53</f>
        <v>0</v>
      </c>
      <c r="M53" s="282">
        <v>70</v>
      </c>
      <c r="N53" s="282">
        <v>322357</v>
      </c>
      <c r="O53" s="69"/>
      <c r="P53" s="69"/>
      <c r="Q53" s="282">
        <v>35</v>
      </c>
      <c r="R53" s="343">
        <v>423252</v>
      </c>
      <c r="S53" s="69"/>
      <c r="T53" s="69"/>
      <c r="U53" s="282">
        <v>90</v>
      </c>
      <c r="V53" s="343">
        <v>969963</v>
      </c>
      <c r="W53" s="69">
        <v>81</v>
      </c>
      <c r="X53" s="69">
        <f>13.91*85*86</f>
        <v>101682.09999999999</v>
      </c>
      <c r="Y53" s="282">
        <v>72</v>
      </c>
      <c r="Z53" s="343">
        <v>286350</v>
      </c>
      <c r="AA53" s="71">
        <f t="shared" si="5"/>
        <v>2918916</v>
      </c>
      <c r="AB53" s="9"/>
    </row>
    <row r="54" spans="1:28" x14ac:dyDescent="0.25">
      <c r="A54" s="56" t="s">
        <v>27</v>
      </c>
      <c r="B54" s="314" t="s">
        <v>81</v>
      </c>
      <c r="C54" s="315"/>
      <c r="D54" s="316"/>
      <c r="E54" s="68" t="s">
        <v>73</v>
      </c>
      <c r="F54" s="69"/>
      <c r="G54" s="69"/>
      <c r="H54" s="69">
        <f>250*237*13.91</f>
        <v>824167.5</v>
      </c>
      <c r="I54" s="283"/>
      <c r="J54" s="283"/>
      <c r="K54" s="69"/>
      <c r="L54" s="69">
        <f>F53*K51</f>
        <v>185500</v>
      </c>
      <c r="M54" s="283"/>
      <c r="N54" s="283"/>
      <c r="O54" s="69"/>
      <c r="P54" s="69">
        <f>F53*O51</f>
        <v>311500</v>
      </c>
      <c r="Q54" s="283"/>
      <c r="R54" s="344"/>
      <c r="S54" s="69"/>
      <c r="T54" s="69">
        <f>F53*S51</f>
        <v>465500</v>
      </c>
      <c r="U54" s="283"/>
      <c r="V54" s="344"/>
      <c r="W54" s="69"/>
      <c r="X54" s="69">
        <f>250*13.91*86</f>
        <v>299065</v>
      </c>
      <c r="Y54" s="283"/>
      <c r="Z54" s="344"/>
      <c r="AA54" s="71">
        <f t="shared" si="5"/>
        <v>0</v>
      </c>
      <c r="AB54" s="9"/>
    </row>
    <row r="55" spans="1:28" x14ac:dyDescent="0.25">
      <c r="A55" s="56" t="s">
        <v>83</v>
      </c>
      <c r="B55" s="314" t="s">
        <v>84</v>
      </c>
      <c r="C55" s="315"/>
      <c r="D55" s="316"/>
      <c r="E55" s="73" t="s">
        <v>73</v>
      </c>
      <c r="F55" s="69">
        <v>2500</v>
      </c>
      <c r="G55" s="69"/>
      <c r="H55" s="69">
        <f>237*F55</f>
        <v>592500</v>
      </c>
      <c r="I55" s="69">
        <v>8</v>
      </c>
      <c r="J55" s="69">
        <v>643587</v>
      </c>
      <c r="K55" s="69"/>
      <c r="L55" s="69">
        <f>F55*K51</f>
        <v>132500</v>
      </c>
      <c r="M55" s="69"/>
      <c r="N55" s="69">
        <v>370043</v>
      </c>
      <c r="O55" s="69"/>
      <c r="P55" s="69"/>
      <c r="Q55" s="69"/>
      <c r="R55" s="71">
        <v>536452</v>
      </c>
      <c r="S55" s="69"/>
      <c r="T55" s="69">
        <f>F55*S51</f>
        <v>332500</v>
      </c>
      <c r="U55" s="69">
        <v>50</v>
      </c>
      <c r="V55" s="71">
        <v>498913</v>
      </c>
      <c r="W55" s="69">
        <v>81</v>
      </c>
      <c r="X55" s="69">
        <f>W55*F55</f>
        <v>202500</v>
      </c>
      <c r="Y55" s="69">
        <v>30</v>
      </c>
      <c r="Z55" s="71">
        <v>422034</v>
      </c>
      <c r="AA55" s="71">
        <f t="shared" si="5"/>
        <v>2471029</v>
      </c>
      <c r="AB55" s="9"/>
    </row>
    <row r="56" spans="1:28" x14ac:dyDescent="0.25">
      <c r="A56" s="56" t="s">
        <v>85</v>
      </c>
      <c r="B56" s="314" t="s">
        <v>86</v>
      </c>
      <c r="C56" s="315"/>
      <c r="D56" s="316"/>
      <c r="E56" s="73" t="s">
        <v>73</v>
      </c>
      <c r="F56" s="69">
        <v>1000</v>
      </c>
      <c r="G56" s="69"/>
      <c r="H56" s="69">
        <f>G56*F56</f>
        <v>0</v>
      </c>
      <c r="I56" s="69">
        <v>30</v>
      </c>
      <c r="J56" s="74">
        <v>352060</v>
      </c>
      <c r="K56" s="69"/>
      <c r="L56" s="69">
        <f>K56*F56</f>
        <v>0</v>
      </c>
      <c r="M56" s="69"/>
      <c r="N56" s="74">
        <v>187940</v>
      </c>
      <c r="O56" s="69"/>
      <c r="P56" s="69">
        <f>O56*F56</f>
        <v>0</v>
      </c>
      <c r="Q56" s="69"/>
      <c r="R56" s="75">
        <v>145880</v>
      </c>
      <c r="S56" s="69"/>
      <c r="T56" s="69">
        <f>S56*F56</f>
        <v>0</v>
      </c>
      <c r="U56" s="69"/>
      <c r="V56" s="75">
        <v>289625</v>
      </c>
      <c r="W56" s="69">
        <v>81</v>
      </c>
      <c r="X56" s="69">
        <f>W56*F56</f>
        <v>81000</v>
      </c>
      <c r="Y56" s="69"/>
      <c r="Z56" s="75">
        <v>233495</v>
      </c>
      <c r="AA56" s="71">
        <f t="shared" si="5"/>
        <v>1209000</v>
      </c>
      <c r="AB56" s="9"/>
    </row>
    <row r="57" spans="1:28" x14ac:dyDescent="0.25">
      <c r="A57" s="56" t="s">
        <v>87</v>
      </c>
      <c r="B57" s="314" t="s">
        <v>88</v>
      </c>
      <c r="C57" s="315"/>
      <c r="D57" s="316"/>
      <c r="E57" s="73" t="s">
        <v>73</v>
      </c>
      <c r="F57" s="69">
        <v>2500</v>
      </c>
      <c r="G57" s="69"/>
      <c r="H57" s="69">
        <f>G57*F57</f>
        <v>0</v>
      </c>
      <c r="I57" s="69">
        <v>9</v>
      </c>
      <c r="J57" s="69">
        <v>540469</v>
      </c>
      <c r="K57" s="69"/>
      <c r="L57" s="69">
        <f>K56*F57</f>
        <v>0</v>
      </c>
      <c r="M57" s="69"/>
      <c r="N57" s="69">
        <v>295709</v>
      </c>
      <c r="O57" s="69"/>
      <c r="P57" s="69">
        <f>O56*F57</f>
        <v>0</v>
      </c>
      <c r="Q57" s="69"/>
      <c r="R57" s="71">
        <v>353165</v>
      </c>
      <c r="S57" s="69"/>
      <c r="T57" s="69">
        <f>S56*F57</f>
        <v>0</v>
      </c>
      <c r="U57" s="69"/>
      <c r="V57" s="71">
        <v>510550</v>
      </c>
      <c r="W57" s="69"/>
      <c r="X57" s="69">
        <f>W56*F57</f>
        <v>202500</v>
      </c>
      <c r="Y57" s="69"/>
      <c r="Z57" s="71">
        <v>365465</v>
      </c>
      <c r="AA57" s="71">
        <f t="shared" si="5"/>
        <v>2065358</v>
      </c>
      <c r="AB57" s="9"/>
    </row>
    <row r="58" spans="1:28" x14ac:dyDescent="0.25">
      <c r="A58" s="57" t="s">
        <v>89</v>
      </c>
      <c r="B58" s="292" t="s">
        <v>90</v>
      </c>
      <c r="C58" s="293"/>
      <c r="D58" s="294"/>
      <c r="E58" s="76" t="s">
        <v>73</v>
      </c>
      <c r="F58" s="77"/>
      <c r="G58" s="77"/>
      <c r="H58" s="77"/>
      <c r="I58" s="77"/>
      <c r="J58" s="77">
        <v>4005765</v>
      </c>
      <c r="K58" s="77"/>
      <c r="L58" s="77"/>
      <c r="M58" s="77"/>
      <c r="N58" s="77">
        <v>3985</v>
      </c>
      <c r="O58" s="77"/>
      <c r="P58" s="77"/>
      <c r="Q58" s="77"/>
      <c r="R58" s="78">
        <v>14957</v>
      </c>
      <c r="S58" s="77"/>
      <c r="T58" s="77"/>
      <c r="U58" s="77"/>
      <c r="V58" s="78">
        <v>5271404</v>
      </c>
      <c r="W58" s="77"/>
      <c r="X58" s="77"/>
      <c r="Y58" s="77"/>
      <c r="Z58" s="78">
        <v>8440</v>
      </c>
      <c r="AA58" s="71">
        <f t="shared" si="5"/>
        <v>9304551</v>
      </c>
      <c r="AB58" s="9"/>
    </row>
    <row r="59" spans="1:28" x14ac:dyDescent="0.25">
      <c r="A59" s="56" t="s">
        <v>91</v>
      </c>
      <c r="B59" s="278" t="s">
        <v>92</v>
      </c>
      <c r="C59" s="279"/>
      <c r="D59" s="280"/>
      <c r="E59" s="73" t="s">
        <v>73</v>
      </c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71"/>
      <c r="S59" s="69"/>
      <c r="T59" s="69"/>
      <c r="U59" s="69"/>
      <c r="V59" s="71"/>
      <c r="W59" s="69"/>
      <c r="X59" s="69"/>
      <c r="Y59" s="69"/>
      <c r="Z59" s="71"/>
      <c r="AA59" s="71">
        <f t="shared" si="5"/>
        <v>0</v>
      </c>
      <c r="AB59" s="9"/>
    </row>
    <row r="60" spans="1:28" x14ac:dyDescent="0.25">
      <c r="A60" s="56" t="s">
        <v>93</v>
      </c>
      <c r="B60" s="278" t="s">
        <v>94</v>
      </c>
      <c r="C60" s="279"/>
      <c r="D60" s="280"/>
      <c r="E60" s="73" t="s">
        <v>73</v>
      </c>
      <c r="F60" s="69"/>
      <c r="G60" s="69"/>
      <c r="H60" s="69"/>
      <c r="I60" s="69"/>
      <c r="J60" s="69">
        <v>27100</v>
      </c>
      <c r="K60" s="69"/>
      <c r="L60" s="69"/>
      <c r="M60" s="69"/>
      <c r="N60" s="69">
        <v>20300</v>
      </c>
      <c r="O60" s="69"/>
      <c r="P60" s="69"/>
      <c r="Q60" s="69"/>
      <c r="R60" s="71">
        <v>6800</v>
      </c>
      <c r="S60" s="69"/>
      <c r="T60" s="69"/>
      <c r="U60" s="69"/>
      <c r="V60" s="71">
        <v>20300</v>
      </c>
      <c r="W60" s="69"/>
      <c r="X60" s="69"/>
      <c r="Y60" s="69"/>
      <c r="Z60" s="71">
        <v>27100</v>
      </c>
      <c r="AA60" s="71">
        <f t="shared" si="5"/>
        <v>101600</v>
      </c>
      <c r="AB60" s="9"/>
    </row>
    <row r="61" spans="1:28" ht="16.5" customHeight="1" x14ac:dyDescent="0.25">
      <c r="A61" s="56">
        <v>11</v>
      </c>
      <c r="B61" s="295" t="s">
        <v>95</v>
      </c>
      <c r="C61" s="295"/>
      <c r="D61" s="295"/>
      <c r="E61" s="73" t="s">
        <v>73</v>
      </c>
      <c r="F61" s="69">
        <v>100</v>
      </c>
      <c r="G61" s="69"/>
      <c r="H61" s="69"/>
      <c r="I61" s="69"/>
      <c r="J61" s="69">
        <v>24648</v>
      </c>
      <c r="K61" s="69"/>
      <c r="L61" s="69"/>
      <c r="M61" s="69"/>
      <c r="N61" s="69">
        <v>6968</v>
      </c>
      <c r="O61" s="69"/>
      <c r="P61" s="69"/>
      <c r="Q61" s="69"/>
      <c r="R61" s="71">
        <v>9568</v>
      </c>
      <c r="S61" s="69"/>
      <c r="T61" s="69"/>
      <c r="U61" s="69"/>
      <c r="V61" s="71">
        <v>14560</v>
      </c>
      <c r="W61" s="69"/>
      <c r="X61" s="69"/>
      <c r="Y61" s="69"/>
      <c r="Z61" s="71">
        <v>8944</v>
      </c>
      <c r="AA61" s="71">
        <f t="shared" si="5"/>
        <v>64688</v>
      </c>
      <c r="AB61" s="9"/>
    </row>
    <row r="62" spans="1:28" ht="16.5" customHeight="1" x14ac:dyDescent="0.25">
      <c r="A62" s="56" t="s">
        <v>100</v>
      </c>
      <c r="B62" s="278" t="s">
        <v>104</v>
      </c>
      <c r="C62" s="279"/>
      <c r="D62" s="280"/>
      <c r="E62" s="73" t="s">
        <v>73</v>
      </c>
      <c r="F62" s="69"/>
      <c r="G62" s="69"/>
      <c r="H62" s="69"/>
      <c r="I62" s="69"/>
      <c r="J62" s="74">
        <f>4565958+1378919</f>
        <v>5944877</v>
      </c>
      <c r="K62" s="69"/>
      <c r="L62" s="69"/>
      <c r="M62" s="69"/>
      <c r="N62" s="74">
        <f>2101399+634622</f>
        <v>2736021</v>
      </c>
      <c r="O62" s="69"/>
      <c r="P62" s="69"/>
      <c r="Q62" s="69"/>
      <c r="R62" s="71">
        <f>2439099+736607</f>
        <v>3175706</v>
      </c>
      <c r="S62" s="69"/>
      <c r="T62" s="69"/>
      <c r="U62" s="69"/>
      <c r="V62" s="75">
        <v>4319780</v>
      </c>
      <c r="W62" s="69"/>
      <c r="X62" s="69"/>
      <c r="Y62" s="69"/>
      <c r="Z62" s="75">
        <f>1939695+585788</f>
        <v>2525483</v>
      </c>
      <c r="AA62" s="71">
        <f t="shared" si="5"/>
        <v>18701867</v>
      </c>
      <c r="AB62" s="9"/>
    </row>
    <row r="63" spans="1:28" ht="16.5" customHeight="1" x14ac:dyDescent="0.25">
      <c r="A63" s="56" t="s">
        <v>101</v>
      </c>
      <c r="B63" s="278" t="s">
        <v>102</v>
      </c>
      <c r="C63" s="279"/>
      <c r="D63" s="280"/>
      <c r="E63" s="73" t="s">
        <v>73</v>
      </c>
      <c r="F63" s="69"/>
      <c r="G63" s="69"/>
      <c r="H63" s="69"/>
      <c r="I63" s="69"/>
      <c r="J63" s="69">
        <v>3573939</v>
      </c>
      <c r="K63" s="69"/>
      <c r="L63" s="69"/>
      <c r="M63" s="69"/>
      <c r="N63" s="69">
        <v>938809</v>
      </c>
      <c r="O63" s="69"/>
      <c r="P63" s="69"/>
      <c r="Q63" s="69"/>
      <c r="R63">
        <v>751968</v>
      </c>
      <c r="S63" s="69"/>
      <c r="T63" s="69"/>
      <c r="U63" s="69"/>
      <c r="V63" s="71">
        <v>2799482</v>
      </c>
      <c r="W63" s="69"/>
      <c r="X63" s="69"/>
      <c r="Y63" s="69"/>
      <c r="Z63" s="71">
        <v>1172280</v>
      </c>
      <c r="AA63" s="71">
        <f t="shared" si="5"/>
        <v>9236478</v>
      </c>
      <c r="AB63" s="9"/>
    </row>
    <row r="64" spans="1:28" x14ac:dyDescent="0.25">
      <c r="A64" s="339" t="s">
        <v>103</v>
      </c>
      <c r="B64" s="339"/>
      <c r="C64" s="339"/>
      <c r="D64" s="339"/>
      <c r="E64" s="79"/>
      <c r="F64" s="80"/>
      <c r="G64" s="80"/>
      <c r="H64" s="80"/>
      <c r="I64" s="80"/>
      <c r="J64" s="80">
        <f>SUM(J51:J63)</f>
        <v>16639427</v>
      </c>
      <c r="K64" s="80"/>
      <c r="L64" s="80"/>
      <c r="M64" s="80"/>
      <c r="N64" s="80">
        <f>SUM(N51:N63)</f>
        <v>5132402</v>
      </c>
      <c r="O64" s="80"/>
      <c r="P64" s="80"/>
      <c r="Q64" s="80"/>
      <c r="R64" s="81">
        <f>SUM(R51:R63)</f>
        <v>5840668</v>
      </c>
      <c r="S64" s="80"/>
      <c r="T64" s="80"/>
      <c r="U64" s="80"/>
      <c r="V64" s="81">
        <f>SUM(V51:V63)</f>
        <v>15160761</v>
      </c>
      <c r="W64" s="80"/>
      <c r="X64" s="80"/>
      <c r="Y64" s="80"/>
      <c r="Z64" s="80">
        <f>SUM(Z51:Z63)</f>
        <v>5419242</v>
      </c>
      <c r="AA64" s="81">
        <f>J64+N64+R64+V64+Z64</f>
        <v>48192500</v>
      </c>
      <c r="AB64" s="9"/>
    </row>
    <row r="65" spans="1:27" x14ac:dyDescent="0.25">
      <c r="A65" s="82"/>
      <c r="B65" s="83" t="s">
        <v>114</v>
      </c>
      <c r="C65" s="83"/>
      <c r="D65" s="83"/>
      <c r="E65" s="84"/>
      <c r="F65" s="54"/>
      <c r="G65" s="54"/>
      <c r="H65" s="54"/>
      <c r="I65" s="54"/>
      <c r="J65" s="54">
        <f>J64/G51</f>
        <v>70506.046610169491</v>
      </c>
      <c r="K65" s="54"/>
      <c r="L65" s="54"/>
      <c r="M65" s="54"/>
      <c r="N65" s="54">
        <f>N64/K51</f>
        <v>96837.773584905663</v>
      </c>
      <c r="O65" s="54"/>
      <c r="P65" s="54"/>
      <c r="Q65" s="54"/>
      <c r="R65" s="54">
        <f>R64/O51</f>
        <v>65625.483146067418</v>
      </c>
      <c r="S65" s="54"/>
      <c r="T65" s="54"/>
      <c r="U65" s="54"/>
      <c r="V65" s="54">
        <f>V64/S51</f>
        <v>113990.68421052632</v>
      </c>
      <c r="W65" s="54"/>
      <c r="X65" s="54"/>
      <c r="Y65" s="54"/>
      <c r="Z65" s="54">
        <f>Z64/W51</f>
        <v>66904.222222222219</v>
      </c>
      <c r="AA65" s="54"/>
    </row>
    <row r="66" spans="1:27" x14ac:dyDescent="0.25">
      <c r="A66" s="82"/>
      <c r="B66" s="83"/>
      <c r="C66" s="83"/>
      <c r="D66" s="83"/>
      <c r="E66" s="8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</row>
    <row r="67" spans="1:27" ht="30" x14ac:dyDescent="0.25">
      <c r="A67" s="376" t="s">
        <v>225</v>
      </c>
      <c r="B67" s="377"/>
      <c r="C67" s="377"/>
      <c r="D67" s="377"/>
      <c r="E67" s="377"/>
      <c r="F67" s="377"/>
      <c r="G67" s="377"/>
      <c r="H67" s="377"/>
      <c r="I67" s="378"/>
      <c r="J67" s="46" t="s">
        <v>192</v>
      </c>
      <c r="K67" s="46" t="s">
        <v>193</v>
      </c>
      <c r="L67" s="46" t="s">
        <v>194</v>
      </c>
      <c r="M67" s="46" t="s">
        <v>195</v>
      </c>
      <c r="N67" s="46" t="s">
        <v>196</v>
      </c>
      <c r="O67" s="46" t="s">
        <v>183</v>
      </c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</row>
    <row r="68" spans="1:27" x14ac:dyDescent="0.25">
      <c r="A68" s="376" t="s">
        <v>170</v>
      </c>
      <c r="B68" s="377"/>
      <c r="C68" s="377"/>
      <c r="D68" s="377"/>
      <c r="E68" s="377"/>
      <c r="F68" s="377"/>
      <c r="G68" s="377"/>
      <c r="H68" s="377"/>
      <c r="I68" s="378"/>
      <c r="J68" s="115">
        <f>SUM(J69:J71)</f>
        <v>1554265</v>
      </c>
      <c r="K68" s="115">
        <f>SUM(K69:K71)</f>
        <v>761187</v>
      </c>
      <c r="L68" s="115">
        <f t="shared" ref="L68" si="6">SUM(L69:L71)</f>
        <v>938333</v>
      </c>
      <c r="M68" s="115">
        <f t="shared" ref="M68" si="7">SUM(M69:M71)</f>
        <v>1301219</v>
      </c>
      <c r="N68" s="115">
        <f t="shared" ref="N68" si="8">SUM(N69:N71)</f>
        <v>1004655</v>
      </c>
      <c r="O68" s="115">
        <f>SUM(J68:N68)</f>
        <v>5559659</v>
      </c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</row>
    <row r="69" spans="1:27" x14ac:dyDescent="0.25">
      <c r="A69" s="373" t="s">
        <v>178</v>
      </c>
      <c r="B69" s="374"/>
      <c r="C69" s="374"/>
      <c r="D69" s="374"/>
      <c r="E69" s="374"/>
      <c r="F69" s="374"/>
      <c r="G69" s="374"/>
      <c r="H69" s="374"/>
      <c r="I69" s="375"/>
      <c r="J69" s="7"/>
      <c r="K69" s="7"/>
      <c r="L69" s="7"/>
      <c r="M69" s="7"/>
      <c r="N69" s="7"/>
      <c r="O69" s="7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</row>
    <row r="70" spans="1:27" x14ac:dyDescent="0.25">
      <c r="A70" s="274" t="s">
        <v>176</v>
      </c>
      <c r="B70" s="369"/>
      <c r="C70" s="369"/>
      <c r="D70" s="369"/>
      <c r="E70" s="369"/>
      <c r="F70" s="369"/>
      <c r="G70" s="369"/>
      <c r="H70" s="369"/>
      <c r="I70" s="275"/>
      <c r="J70" s="35">
        <f>J56+J57+J60</f>
        <v>919629</v>
      </c>
      <c r="K70" s="35">
        <f>N56+N57+N60</f>
        <v>503949</v>
      </c>
      <c r="L70" s="35">
        <f>R56+R57+R60</f>
        <v>505845</v>
      </c>
      <c r="M70" s="35">
        <f>V56+V57+V60</f>
        <v>820475</v>
      </c>
      <c r="N70" s="35">
        <f>Z56+Z57+Z60</f>
        <v>626060</v>
      </c>
      <c r="O70" s="35">
        <f t="shared" ref="O70:O77" si="9">SUM(J70:N70)</f>
        <v>3375958</v>
      </c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</row>
    <row r="71" spans="1:27" x14ac:dyDescent="0.25">
      <c r="A71" s="274" t="s">
        <v>175</v>
      </c>
      <c r="B71" s="369"/>
      <c r="C71" s="369"/>
      <c r="D71" s="369"/>
      <c r="E71" s="369"/>
      <c r="F71" s="369"/>
      <c r="G71" s="369"/>
      <c r="H71" s="369"/>
      <c r="I71" s="275"/>
      <c r="J71" s="35">
        <f>J51+J52+J61</f>
        <v>634636</v>
      </c>
      <c r="K71" s="35">
        <f>N51+N52+N61</f>
        <v>257238</v>
      </c>
      <c r="L71" s="35">
        <f>R51+R52+R61</f>
        <v>432488</v>
      </c>
      <c r="M71" s="35">
        <f>V51+V52+V61</f>
        <v>480744</v>
      </c>
      <c r="N71" s="35">
        <f>Z51+Z52+Z61</f>
        <v>378595</v>
      </c>
      <c r="O71" s="35">
        <f t="shared" si="9"/>
        <v>2183701</v>
      </c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</row>
    <row r="72" spans="1:27" x14ac:dyDescent="0.25">
      <c r="A72" s="370" t="s">
        <v>177</v>
      </c>
      <c r="B72" s="371"/>
      <c r="C72" s="371"/>
      <c r="D72" s="371"/>
      <c r="E72" s="371"/>
      <c r="F72" s="371"/>
      <c r="G72" s="371"/>
      <c r="H72" s="371"/>
      <c r="I72" s="372"/>
      <c r="J72" s="114">
        <f>J73+J74+J80+J81</f>
        <v>15085162</v>
      </c>
      <c r="K72" s="114">
        <f>K73+K74+K80+K81</f>
        <v>4371215</v>
      </c>
      <c r="L72" s="114">
        <f t="shared" ref="L72" si="10">L73+L74+L80+L81</f>
        <v>4902335</v>
      </c>
      <c r="M72" s="114">
        <f t="shared" ref="M72" si="11">M73+M74+M80+M81</f>
        <v>13859542</v>
      </c>
      <c r="N72" s="114">
        <f t="shared" ref="N72" si="12">N73+N74+N80+N81</f>
        <v>4414587</v>
      </c>
      <c r="O72" s="114">
        <f t="shared" si="9"/>
        <v>42632841</v>
      </c>
      <c r="P72" s="116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</row>
    <row r="73" spans="1:27" x14ac:dyDescent="0.25">
      <c r="A73" s="373" t="s">
        <v>179</v>
      </c>
      <c r="B73" s="374"/>
      <c r="C73" s="374"/>
      <c r="D73" s="374"/>
      <c r="E73" s="374"/>
      <c r="F73" s="374"/>
      <c r="G73" s="374"/>
      <c r="H73" s="374"/>
      <c r="I73" s="375"/>
      <c r="J73" s="113">
        <f>J62</f>
        <v>5944877</v>
      </c>
      <c r="K73" s="113">
        <f>N62</f>
        <v>2736021</v>
      </c>
      <c r="L73" s="113">
        <f>R62</f>
        <v>3175706</v>
      </c>
      <c r="M73" s="113">
        <f>V62</f>
        <v>4319780</v>
      </c>
      <c r="N73" s="113">
        <f>Z62</f>
        <v>2525483</v>
      </c>
      <c r="O73" s="113">
        <f t="shared" si="9"/>
        <v>18701867</v>
      </c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</row>
    <row r="74" spans="1:27" x14ac:dyDescent="0.25">
      <c r="A74" s="274" t="s">
        <v>171</v>
      </c>
      <c r="B74" s="369"/>
      <c r="C74" s="369"/>
      <c r="D74" s="369"/>
      <c r="E74" s="369"/>
      <c r="F74" s="369"/>
      <c r="G74" s="369"/>
      <c r="H74" s="369"/>
      <c r="I74" s="275"/>
      <c r="J74" s="113">
        <f>SUM(J75:J77)</f>
        <v>2455149</v>
      </c>
      <c r="K74" s="113">
        <f t="shared" ref="K74:L74" si="13">SUM(K75:K77)</f>
        <v>662611.80000000005</v>
      </c>
      <c r="L74" s="113">
        <f t="shared" si="13"/>
        <v>518670.4</v>
      </c>
      <c r="M74" s="113">
        <f t="shared" ref="M74" si="14">SUM(M75:M77)</f>
        <v>1717066.4</v>
      </c>
      <c r="N74" s="113">
        <f t="shared" ref="N74" si="15">SUM(N75:N77)</f>
        <v>776309</v>
      </c>
      <c r="O74" s="113">
        <f t="shared" si="9"/>
        <v>6129806.5999999996</v>
      </c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</row>
    <row r="75" spans="1:27" x14ac:dyDescent="0.25">
      <c r="A75" s="274" t="s">
        <v>172</v>
      </c>
      <c r="B75" s="369"/>
      <c r="C75" s="369"/>
      <c r="D75" s="369"/>
      <c r="E75" s="369"/>
      <c r="F75" s="369"/>
      <c r="G75" s="369"/>
      <c r="H75" s="369"/>
      <c r="I75" s="275"/>
      <c r="J75" s="35">
        <f>854340*90%</f>
        <v>768906</v>
      </c>
      <c r="K75" s="35">
        <f>252352*90%</f>
        <v>227116.80000000002</v>
      </c>
      <c r="L75" s="35">
        <f>356716*90%</f>
        <v>321044.40000000002</v>
      </c>
      <c r="M75" s="35">
        <f>356096*90%</f>
        <v>320486.40000000002</v>
      </c>
      <c r="N75" s="35">
        <f>178535*90%</f>
        <v>160681.5</v>
      </c>
      <c r="O75" s="35">
        <f t="shared" si="9"/>
        <v>1798235.1</v>
      </c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</row>
    <row r="76" spans="1:27" x14ac:dyDescent="0.25">
      <c r="A76" s="274" t="s">
        <v>173</v>
      </c>
      <c r="B76" s="369"/>
      <c r="C76" s="369"/>
      <c r="D76" s="369"/>
      <c r="E76" s="369"/>
      <c r="F76" s="369"/>
      <c r="G76" s="369"/>
      <c r="H76" s="369"/>
      <c r="I76" s="275"/>
      <c r="J76" s="35">
        <f>2066712*50%</f>
        <v>1033356</v>
      </c>
      <c r="K76" s="35">
        <f>501924*50%</f>
        <v>250962</v>
      </c>
      <c r="L76" s="35">
        <f>395252*50%</f>
        <v>197626</v>
      </c>
      <c r="M76" s="35">
        <f>2093612*50%</f>
        <v>1046806</v>
      </c>
      <c r="N76" s="35">
        <f>756235*50%</f>
        <v>378117.5</v>
      </c>
      <c r="O76" s="35">
        <f t="shared" si="9"/>
        <v>2906867.5</v>
      </c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</row>
    <row r="77" spans="1:27" x14ac:dyDescent="0.25">
      <c r="A77" s="274" t="s">
        <v>174</v>
      </c>
      <c r="B77" s="369"/>
      <c r="C77" s="369"/>
      <c r="D77" s="369"/>
      <c r="E77" s="369"/>
      <c r="F77" s="369"/>
      <c r="G77" s="369"/>
      <c r="H77" s="369"/>
      <c r="I77" s="275"/>
      <c r="J77" s="35">
        <f>265889+386998</f>
        <v>652887</v>
      </c>
      <c r="K77" s="35">
        <f>75151+109382</f>
        <v>184533</v>
      </c>
      <c r="L77" s="35"/>
      <c r="M77" s="35">
        <f>142446+207328</f>
        <v>349774</v>
      </c>
      <c r="N77" s="35">
        <f>96726+140784</f>
        <v>237510</v>
      </c>
      <c r="O77" s="35">
        <f t="shared" si="9"/>
        <v>1424704</v>
      </c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</row>
    <row r="78" spans="1:27" x14ac:dyDescent="0.25">
      <c r="A78" s="274" t="s">
        <v>180</v>
      </c>
      <c r="B78" s="369"/>
      <c r="C78" s="369"/>
      <c r="D78" s="369"/>
      <c r="E78" s="369"/>
      <c r="F78" s="369"/>
      <c r="G78" s="369"/>
      <c r="H78" s="369"/>
      <c r="I78" s="275"/>
      <c r="J78" s="35"/>
      <c r="K78" s="35"/>
      <c r="L78" s="35"/>
      <c r="M78" s="35"/>
      <c r="N78" s="35"/>
      <c r="O78" s="7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</row>
    <row r="79" spans="1:27" x14ac:dyDescent="0.25">
      <c r="A79" s="274" t="s">
        <v>181</v>
      </c>
      <c r="B79" s="369"/>
      <c r="C79" s="369"/>
      <c r="D79" s="369"/>
      <c r="E79" s="369"/>
      <c r="F79" s="369"/>
      <c r="G79" s="369"/>
      <c r="H79" s="369"/>
      <c r="I79" s="275"/>
      <c r="J79" s="35"/>
      <c r="K79" s="35"/>
      <c r="L79" s="35"/>
      <c r="M79" s="35"/>
      <c r="N79" s="35"/>
      <c r="O79" s="7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</row>
    <row r="80" spans="1:27" x14ac:dyDescent="0.25">
      <c r="A80" s="364" t="s">
        <v>182</v>
      </c>
      <c r="B80" s="268"/>
      <c r="C80" s="268"/>
      <c r="D80" s="268"/>
      <c r="E80" s="268"/>
      <c r="F80" s="268"/>
      <c r="G80" s="268"/>
      <c r="H80" s="268"/>
      <c r="I80" s="365"/>
      <c r="J80" s="35">
        <f>J53+J55+J58+J63-J75-J76-J77-390778</f>
        <v>6294358</v>
      </c>
      <c r="K80" s="35">
        <f>N53+N55+N63+N58-K74-K81</f>
        <v>832407.2</v>
      </c>
      <c r="L80" s="35">
        <f>R53+R55+R58+R63-L74-390778</f>
        <v>817180.60000000009</v>
      </c>
      <c r="M80" s="35">
        <f>V53+V55+V58+V63-M74-268669</f>
        <v>7554026.5999999996</v>
      </c>
      <c r="N80" s="35">
        <f>Z53+Z55+Z58+Z63-N74-163538</f>
        <v>949257</v>
      </c>
      <c r="O80" s="35">
        <f>SUM(J80:N80)</f>
        <v>16447229.4</v>
      </c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</row>
    <row r="81" spans="1:27" x14ac:dyDescent="0.25">
      <c r="A81" s="274" t="s">
        <v>175</v>
      </c>
      <c r="B81" s="369"/>
      <c r="C81" s="369"/>
      <c r="D81" s="369"/>
      <c r="E81" s="369"/>
      <c r="F81" s="369"/>
      <c r="G81" s="369"/>
      <c r="H81" s="369"/>
      <c r="I81" s="275"/>
      <c r="J81" s="35">
        <f>390778</f>
        <v>390778</v>
      </c>
      <c r="K81" s="35">
        <f>140175</f>
        <v>140175</v>
      </c>
      <c r="L81" s="35">
        <v>390778</v>
      </c>
      <c r="M81" s="35">
        <v>268669</v>
      </c>
      <c r="N81" s="35">
        <v>163538</v>
      </c>
      <c r="O81" s="35">
        <f>SUM(J81:N81)</f>
        <v>1353938</v>
      </c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</row>
    <row r="82" spans="1:27" x14ac:dyDescent="0.25">
      <c r="A82" s="274" t="s">
        <v>183</v>
      </c>
      <c r="B82" s="369"/>
      <c r="C82" s="369"/>
      <c r="D82" s="369"/>
      <c r="E82" s="369"/>
      <c r="F82" s="369"/>
      <c r="G82" s="369"/>
      <c r="H82" s="369"/>
      <c r="I82" s="275"/>
      <c r="J82" s="35">
        <f>J68+J72</f>
        <v>16639427</v>
      </c>
      <c r="K82" s="35">
        <f t="shared" ref="K82:N82" si="16">K68+K72</f>
        <v>5132402</v>
      </c>
      <c r="L82" s="35">
        <f t="shared" si="16"/>
        <v>5840668</v>
      </c>
      <c r="M82" s="35">
        <f t="shared" si="16"/>
        <v>15160761</v>
      </c>
      <c r="N82" s="35">
        <f t="shared" si="16"/>
        <v>5419242</v>
      </c>
      <c r="O82" s="35">
        <f>SUM(J82:N82)</f>
        <v>48192500</v>
      </c>
      <c r="P82" s="54"/>
      <c r="Q82" s="1"/>
      <c r="R82" s="1"/>
      <c r="S82" s="1"/>
      <c r="T82" s="1"/>
      <c r="V82" s="54"/>
      <c r="W82" s="54"/>
      <c r="X82" s="54"/>
      <c r="Y82" s="54"/>
      <c r="Z82" s="54"/>
      <c r="AA82" s="54"/>
    </row>
    <row r="83" spans="1:27" x14ac:dyDescent="0.25">
      <c r="A83" s="274" t="s">
        <v>184</v>
      </c>
      <c r="B83" s="369"/>
      <c r="C83" s="369"/>
      <c r="D83" s="369"/>
      <c r="E83" s="369"/>
      <c r="F83" s="369"/>
      <c r="G83" s="369"/>
      <c r="H83" s="369"/>
      <c r="I83" s="275"/>
      <c r="J83" s="35">
        <f>J82/G51</f>
        <v>70506.046610169491</v>
      </c>
      <c r="K83" s="35">
        <f>K82/K51</f>
        <v>96837.773584905663</v>
      </c>
      <c r="L83" s="35">
        <f>L82/O51</f>
        <v>65625.483146067418</v>
      </c>
      <c r="M83" s="35">
        <f>M82/S51</f>
        <v>113990.68421052632</v>
      </c>
      <c r="N83" s="35">
        <f>N82/86</f>
        <v>63014.441860465115</v>
      </c>
      <c r="O83" s="7"/>
      <c r="P83" s="88"/>
      <c r="Q83" s="1"/>
      <c r="R83" s="1"/>
      <c r="S83" s="1"/>
      <c r="T83" s="1"/>
      <c r="V83" s="54"/>
      <c r="W83" s="54"/>
      <c r="X83" s="54"/>
      <c r="Y83" s="54"/>
      <c r="Z83" s="54"/>
      <c r="AA83" s="54"/>
    </row>
    <row r="84" spans="1:27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7"/>
      <c r="K84" s="107"/>
      <c r="L84" s="107"/>
      <c r="M84" s="107"/>
      <c r="N84" s="107"/>
      <c r="O84" s="9"/>
      <c r="P84" s="88"/>
      <c r="Q84" s="1"/>
      <c r="R84" s="1"/>
      <c r="S84" s="1"/>
      <c r="T84" s="1"/>
      <c r="V84" s="54"/>
      <c r="W84" s="54"/>
      <c r="X84" s="54"/>
      <c r="Y84" s="54"/>
      <c r="Z84" s="54"/>
      <c r="AA84" s="54"/>
    </row>
    <row r="85" spans="1:27" x14ac:dyDescent="0.25">
      <c r="A85" s="10"/>
      <c r="B85" s="10"/>
      <c r="C85" s="10"/>
      <c r="D85" s="10"/>
      <c r="E85" s="10"/>
      <c r="F85" s="10"/>
      <c r="G85" s="10"/>
      <c r="H85" s="10"/>
      <c r="I85" s="10"/>
      <c r="J85" s="107"/>
      <c r="K85" s="107"/>
      <c r="L85" s="107"/>
      <c r="M85" s="107"/>
      <c r="N85" s="107"/>
      <c r="O85" s="9"/>
      <c r="P85" s="88"/>
      <c r="Q85" s="1"/>
      <c r="R85" s="1"/>
      <c r="S85" s="1"/>
      <c r="T85" s="1"/>
      <c r="V85" s="54"/>
      <c r="W85" s="54"/>
      <c r="X85" s="54"/>
      <c r="Y85" s="54"/>
      <c r="Z85" s="54"/>
      <c r="AA85" s="54"/>
    </row>
    <row r="86" spans="1:27" x14ac:dyDescent="0.25">
      <c r="A86" s="10"/>
      <c r="B86" s="10"/>
      <c r="C86" s="10"/>
      <c r="D86" s="10"/>
      <c r="E86" s="10"/>
      <c r="F86" s="10"/>
      <c r="G86" s="10"/>
      <c r="H86" s="10"/>
      <c r="I86" s="10"/>
      <c r="J86" s="107"/>
      <c r="K86" s="107"/>
      <c r="L86" s="107"/>
      <c r="M86" s="107"/>
      <c r="N86" s="107"/>
      <c r="O86" s="9"/>
      <c r="P86" s="88"/>
      <c r="Q86" s="1"/>
      <c r="R86" s="1"/>
      <c r="S86" s="1"/>
      <c r="T86" s="1"/>
      <c r="V86" s="54"/>
      <c r="W86" s="54"/>
      <c r="X86" s="54"/>
      <c r="Y86" s="54"/>
      <c r="Z86" s="54"/>
      <c r="AA86" s="54"/>
    </row>
    <row r="87" spans="1:27" x14ac:dyDescent="0.25">
      <c r="A87" s="10"/>
      <c r="B87" s="10"/>
      <c r="C87" s="10"/>
      <c r="D87" s="10"/>
      <c r="E87" s="10"/>
      <c r="F87" s="10"/>
      <c r="G87" s="10"/>
      <c r="H87" s="10"/>
      <c r="I87" s="10"/>
      <c r="J87" s="107"/>
      <c r="K87" s="107"/>
      <c r="L87" s="107"/>
      <c r="M87" s="107"/>
      <c r="N87" s="107"/>
      <c r="O87" s="9"/>
      <c r="P87" s="88"/>
      <c r="Q87" s="1"/>
      <c r="R87" s="1"/>
      <c r="S87" s="1"/>
      <c r="T87" s="1"/>
      <c r="V87" s="54"/>
      <c r="W87" s="54"/>
      <c r="X87" s="54"/>
      <c r="Y87" s="54"/>
      <c r="Z87" s="54"/>
      <c r="AA87" s="54"/>
    </row>
    <row r="88" spans="1:27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1" t="s">
        <v>236</v>
      </c>
      <c r="P88" s="1"/>
      <c r="Q88" s="1"/>
      <c r="R88" s="1"/>
      <c r="T88" s="1"/>
      <c r="V88" s="54"/>
      <c r="W88" s="54"/>
      <c r="X88" s="54"/>
      <c r="Y88" s="54"/>
      <c r="Z88" s="54"/>
      <c r="AA88" s="54"/>
    </row>
    <row r="89" spans="1:27" x14ac:dyDescent="0.25">
      <c r="A89" s="82"/>
      <c r="B89" s="83"/>
      <c r="C89" s="83"/>
      <c r="D89" s="83"/>
      <c r="E89" s="84"/>
      <c r="F89" s="54"/>
      <c r="G89" s="54"/>
      <c r="H89" s="54"/>
      <c r="I89" s="54"/>
      <c r="J89" s="54"/>
      <c r="K89" s="54"/>
      <c r="L89" s="54"/>
      <c r="M89" s="54"/>
      <c r="N89" s="54"/>
      <c r="O89" s="1" t="s">
        <v>232</v>
      </c>
      <c r="P89" s="1"/>
      <c r="Q89" s="1"/>
      <c r="R89" s="1"/>
      <c r="T89" s="1"/>
      <c r="V89" s="54"/>
      <c r="W89" s="54"/>
      <c r="X89" s="54"/>
      <c r="Y89" s="54"/>
      <c r="Z89" s="54"/>
      <c r="AA89" s="54"/>
    </row>
    <row r="90" spans="1:27" x14ac:dyDescent="0.25">
      <c r="A90" s="34"/>
      <c r="B90" s="32"/>
      <c r="C90" s="32"/>
      <c r="D90" s="32"/>
      <c r="E90" s="33"/>
      <c r="O90" s="1" t="s">
        <v>233</v>
      </c>
      <c r="P90" s="1"/>
      <c r="Q90" s="1"/>
      <c r="R90" s="1"/>
      <c r="AA90">
        <v>45280.9</v>
      </c>
    </row>
    <row r="91" spans="1:27" x14ac:dyDescent="0.25">
      <c r="O91" s="1" t="s">
        <v>234</v>
      </c>
      <c r="P91" s="1"/>
      <c r="Q91" s="1"/>
      <c r="R91" s="1"/>
    </row>
    <row r="92" spans="1:27" ht="29.25" customHeight="1" x14ac:dyDescent="0.25">
      <c r="A92" s="324" t="s">
        <v>4</v>
      </c>
      <c r="B92" s="326" t="s">
        <v>71</v>
      </c>
      <c r="C92" s="327"/>
      <c r="D92" s="328"/>
      <c r="E92" s="290" t="s">
        <v>2</v>
      </c>
      <c r="F92" s="276" t="s">
        <v>107</v>
      </c>
      <c r="G92" s="281" t="s">
        <v>38</v>
      </c>
      <c r="H92" s="281"/>
      <c r="I92" s="281"/>
      <c r="J92" s="281"/>
      <c r="K92" s="281" t="s">
        <v>39</v>
      </c>
      <c r="L92" s="281"/>
      <c r="M92" s="281"/>
      <c r="N92" s="281"/>
      <c r="O92" s="281" t="s">
        <v>40</v>
      </c>
      <c r="P92" s="281"/>
      <c r="Q92" s="281"/>
      <c r="R92" s="281"/>
      <c r="S92" s="276" t="s">
        <v>110</v>
      </c>
    </row>
    <row r="93" spans="1:27" ht="70.5" customHeight="1" x14ac:dyDescent="0.25">
      <c r="A93" s="325"/>
      <c r="B93" s="329"/>
      <c r="C93" s="330"/>
      <c r="D93" s="331"/>
      <c r="E93" s="291"/>
      <c r="F93" s="277"/>
      <c r="G93" s="47" t="s">
        <v>108</v>
      </c>
      <c r="H93" s="47" t="s">
        <v>13</v>
      </c>
      <c r="I93" s="47" t="s">
        <v>14</v>
      </c>
      <c r="J93" s="47" t="s">
        <v>25</v>
      </c>
      <c r="K93" s="47" t="s">
        <v>12</v>
      </c>
      <c r="L93" s="47" t="s">
        <v>116</v>
      </c>
      <c r="M93" s="47" t="s">
        <v>14</v>
      </c>
      <c r="N93" s="47" t="s">
        <v>25</v>
      </c>
      <c r="O93" s="47" t="s">
        <v>12</v>
      </c>
      <c r="P93" s="47" t="s">
        <v>116</v>
      </c>
      <c r="Q93" s="47" t="s">
        <v>3</v>
      </c>
      <c r="R93" s="47" t="s">
        <v>25</v>
      </c>
      <c r="S93" s="277"/>
    </row>
    <row r="94" spans="1:27" x14ac:dyDescent="0.25">
      <c r="A94" s="49" t="s">
        <v>8</v>
      </c>
      <c r="B94" s="287" t="s">
        <v>72</v>
      </c>
      <c r="C94" s="288"/>
      <c r="D94" s="289"/>
      <c r="E94" s="50" t="s">
        <v>73</v>
      </c>
      <c r="F94" s="85">
        <v>3000</v>
      </c>
      <c r="G94" s="51">
        <v>190</v>
      </c>
      <c r="H94" s="86"/>
      <c r="I94" s="51"/>
      <c r="J94" s="86">
        <f>890228-350000</f>
        <v>540228</v>
      </c>
      <c r="K94" s="51">
        <v>531</v>
      </c>
      <c r="L94" s="85">
        <v>1000</v>
      </c>
      <c r="M94" s="51"/>
      <c r="N94" s="86">
        <f>803993-220000</f>
        <v>583993</v>
      </c>
      <c r="O94" s="51">
        <v>566</v>
      </c>
      <c r="P94" s="85">
        <v>1000</v>
      </c>
      <c r="Q94" s="51">
        <v>28</v>
      </c>
      <c r="R94" s="86">
        <f>1008118-800000</f>
        <v>208118</v>
      </c>
      <c r="S94" s="86">
        <f t="shared" ref="S94:S106" si="17">J94+N94+R94</f>
        <v>1332339</v>
      </c>
    </row>
    <row r="95" spans="1:27" x14ac:dyDescent="0.25">
      <c r="A95" s="49" t="s">
        <v>17</v>
      </c>
      <c r="B95" s="287" t="s">
        <v>79</v>
      </c>
      <c r="C95" s="288"/>
      <c r="D95" s="289"/>
      <c r="E95" s="50" t="s">
        <v>73</v>
      </c>
      <c r="F95" s="85">
        <v>1100</v>
      </c>
      <c r="G95" s="51"/>
      <c r="H95" s="86"/>
      <c r="I95" s="51"/>
      <c r="J95" s="86">
        <v>350000</v>
      </c>
      <c r="K95" s="51"/>
      <c r="L95" s="85">
        <v>250</v>
      </c>
      <c r="M95" s="51"/>
      <c r="N95" s="86">
        <v>220000</v>
      </c>
      <c r="O95" s="51"/>
      <c r="P95" s="85">
        <v>450</v>
      </c>
      <c r="Q95" s="51"/>
      <c r="R95" s="86">
        <v>800000</v>
      </c>
      <c r="S95" s="86">
        <f t="shared" si="17"/>
        <v>1370000</v>
      </c>
    </row>
    <row r="96" spans="1:27" ht="32.25" customHeight="1" x14ac:dyDescent="0.25">
      <c r="A96" s="49" t="s">
        <v>20</v>
      </c>
      <c r="B96" s="317" t="s">
        <v>105</v>
      </c>
      <c r="C96" s="318"/>
      <c r="D96" s="319"/>
      <c r="E96" s="50" t="s">
        <v>73</v>
      </c>
      <c r="F96" s="85">
        <v>280</v>
      </c>
      <c r="G96" s="51"/>
      <c r="H96" s="86"/>
      <c r="I96" s="51"/>
      <c r="J96" s="86"/>
      <c r="K96" s="51"/>
      <c r="L96" s="85">
        <v>170</v>
      </c>
      <c r="M96" s="51"/>
      <c r="N96" s="86"/>
      <c r="O96" s="51"/>
      <c r="P96" s="85">
        <v>450</v>
      </c>
      <c r="Q96" s="51"/>
      <c r="R96" s="86"/>
      <c r="S96" s="86">
        <f t="shared" si="17"/>
        <v>0</v>
      </c>
    </row>
    <row r="97" spans="1:22" x14ac:dyDescent="0.25">
      <c r="A97" s="49" t="s">
        <v>27</v>
      </c>
      <c r="B97" s="320" t="s">
        <v>102</v>
      </c>
      <c r="C97" s="320"/>
      <c r="D97" s="320"/>
      <c r="E97" s="50" t="s">
        <v>73</v>
      </c>
      <c r="F97" s="86"/>
      <c r="G97" s="51"/>
      <c r="H97" s="86"/>
      <c r="I97" s="51"/>
      <c r="J97" s="86">
        <v>922913</v>
      </c>
      <c r="K97" s="51"/>
      <c r="L97" s="86"/>
      <c r="M97" s="51"/>
      <c r="N97" s="86">
        <v>354687</v>
      </c>
      <c r="O97" s="51"/>
      <c r="P97" s="86"/>
      <c r="Q97" s="51"/>
      <c r="R97" s="86">
        <v>5814514</v>
      </c>
      <c r="S97" s="86">
        <f t="shared" si="17"/>
        <v>7092114</v>
      </c>
      <c r="V97" s="31"/>
    </row>
    <row r="98" spans="1:22" x14ac:dyDescent="0.25">
      <c r="A98" s="49" t="s">
        <v>83</v>
      </c>
      <c r="B98" s="320" t="s">
        <v>106</v>
      </c>
      <c r="C98" s="320"/>
      <c r="D98" s="320"/>
      <c r="E98" s="50" t="s">
        <v>73</v>
      </c>
      <c r="F98" s="85">
        <v>3.3</v>
      </c>
      <c r="G98" s="87">
        <v>54940</v>
      </c>
      <c r="H98" s="88"/>
      <c r="I98" s="51"/>
      <c r="J98" s="86">
        <v>333446</v>
      </c>
      <c r="K98" s="51"/>
      <c r="L98" s="85">
        <v>0.48</v>
      </c>
      <c r="M98" s="51"/>
      <c r="N98" s="86">
        <v>299797</v>
      </c>
      <c r="O98" s="51"/>
      <c r="P98" s="85">
        <v>0.67</v>
      </c>
      <c r="Q98" s="51"/>
      <c r="R98" s="89">
        <v>924018</v>
      </c>
      <c r="S98" s="86">
        <f t="shared" si="17"/>
        <v>1557261</v>
      </c>
      <c r="T98" s="18"/>
    </row>
    <row r="99" spans="1:22" x14ac:dyDescent="0.25">
      <c r="A99" s="49" t="s">
        <v>85</v>
      </c>
      <c r="B99" s="320" t="s">
        <v>109</v>
      </c>
      <c r="C99" s="320"/>
      <c r="D99" s="320"/>
      <c r="E99" s="50" t="s">
        <v>73</v>
      </c>
      <c r="F99" s="85">
        <v>4.9000000000000004</v>
      </c>
      <c r="G99" s="51">
        <v>54940</v>
      </c>
      <c r="H99" s="86"/>
      <c r="I99" s="51"/>
      <c r="J99" s="86"/>
      <c r="K99" s="51"/>
      <c r="L99" s="85">
        <v>0.73</v>
      </c>
      <c r="M99" s="51"/>
      <c r="N99" s="86"/>
      <c r="O99" s="51"/>
      <c r="P99" s="85">
        <v>1.9</v>
      </c>
      <c r="Q99" s="51"/>
      <c r="R99" s="89"/>
      <c r="S99" s="86">
        <f t="shared" si="17"/>
        <v>0</v>
      </c>
    </row>
    <row r="100" spans="1:22" x14ac:dyDescent="0.25">
      <c r="A100" s="63" t="s">
        <v>87</v>
      </c>
      <c r="B100" s="321" t="s">
        <v>84</v>
      </c>
      <c r="C100" s="322"/>
      <c r="D100" s="323"/>
      <c r="E100" s="58" t="s">
        <v>73</v>
      </c>
      <c r="F100" s="90">
        <v>320</v>
      </c>
      <c r="G100" s="59"/>
      <c r="H100" s="91">
        <f>F100*5.46*170</f>
        <v>297024</v>
      </c>
      <c r="I100" s="59"/>
      <c r="J100" s="91">
        <v>375979</v>
      </c>
      <c r="K100" s="54"/>
      <c r="L100" s="90">
        <v>770</v>
      </c>
      <c r="M100" s="59"/>
      <c r="N100" s="91">
        <v>346422</v>
      </c>
      <c r="O100" s="59"/>
      <c r="P100" s="90">
        <v>1120</v>
      </c>
      <c r="Q100" s="59"/>
      <c r="R100" s="91">
        <v>554674</v>
      </c>
      <c r="S100" s="86">
        <f t="shared" si="17"/>
        <v>1277075</v>
      </c>
    </row>
    <row r="101" spans="1:22" x14ac:dyDescent="0.25">
      <c r="A101" s="49" t="s">
        <v>89</v>
      </c>
      <c r="B101" s="314" t="s">
        <v>86</v>
      </c>
      <c r="C101" s="315"/>
      <c r="D101" s="316"/>
      <c r="E101" s="58" t="s">
        <v>73</v>
      </c>
      <c r="F101" s="52">
        <v>2.89</v>
      </c>
      <c r="G101" s="51"/>
      <c r="H101" s="86">
        <f>F101*G99</f>
        <v>158776.6</v>
      </c>
      <c r="I101" s="51"/>
      <c r="J101" s="92">
        <v>400000</v>
      </c>
      <c r="K101" s="93"/>
      <c r="L101" s="85">
        <v>0.9</v>
      </c>
      <c r="M101" s="93"/>
      <c r="N101" s="92">
        <v>150000</v>
      </c>
      <c r="O101" s="93"/>
      <c r="P101" s="85">
        <v>0.33</v>
      </c>
      <c r="Q101" s="93"/>
      <c r="R101" s="92">
        <v>100000</v>
      </c>
      <c r="S101" s="86">
        <f t="shared" si="17"/>
        <v>650000</v>
      </c>
    </row>
    <row r="102" spans="1:22" x14ac:dyDescent="0.25">
      <c r="A102" s="49" t="s">
        <v>91</v>
      </c>
      <c r="B102" s="314" t="s">
        <v>88</v>
      </c>
      <c r="C102" s="315"/>
      <c r="D102" s="316"/>
      <c r="E102" s="58" t="s">
        <v>73</v>
      </c>
      <c r="F102" s="52">
        <v>5.3</v>
      </c>
      <c r="G102" s="51"/>
      <c r="H102" s="86">
        <f>F102*G99</f>
        <v>291182</v>
      </c>
      <c r="I102" s="51"/>
      <c r="J102" s="92">
        <v>300000</v>
      </c>
      <c r="K102" s="93"/>
      <c r="L102" s="85">
        <v>0.98</v>
      </c>
      <c r="M102" s="93"/>
      <c r="N102" s="92">
        <v>384700</v>
      </c>
      <c r="O102" s="93"/>
      <c r="P102" s="85">
        <v>1.58</v>
      </c>
      <c r="Q102" s="93"/>
      <c r="R102" s="92">
        <v>1000000</v>
      </c>
      <c r="S102" s="86">
        <f t="shared" si="17"/>
        <v>1684700</v>
      </c>
    </row>
    <row r="103" spans="1:22" x14ac:dyDescent="0.25">
      <c r="A103" s="49" t="s">
        <v>93</v>
      </c>
      <c r="B103" s="292" t="s">
        <v>90</v>
      </c>
      <c r="C103" s="293"/>
      <c r="D103" s="294"/>
      <c r="E103" s="58" t="s">
        <v>73</v>
      </c>
      <c r="F103" s="51"/>
      <c r="G103" s="51"/>
      <c r="H103" s="86"/>
      <c r="I103" s="51"/>
      <c r="J103" s="117">
        <v>346814</v>
      </c>
      <c r="K103" s="93"/>
      <c r="L103" s="92"/>
      <c r="M103" s="93"/>
      <c r="N103" s="117">
        <v>29750</v>
      </c>
      <c r="O103" s="93"/>
      <c r="P103" s="92"/>
      <c r="Q103" s="93"/>
      <c r="R103" s="117">
        <v>1635575</v>
      </c>
      <c r="S103" s="86">
        <f t="shared" si="17"/>
        <v>2012139</v>
      </c>
    </row>
    <row r="104" spans="1:22" x14ac:dyDescent="0.25">
      <c r="A104" s="49">
        <v>11</v>
      </c>
      <c r="B104" s="295" t="s">
        <v>95</v>
      </c>
      <c r="C104" s="295"/>
      <c r="D104" s="295"/>
      <c r="E104" s="58" t="s">
        <v>73</v>
      </c>
      <c r="F104" s="52">
        <v>760</v>
      </c>
      <c r="G104" s="51"/>
      <c r="H104" s="86"/>
      <c r="I104" s="51"/>
      <c r="J104" s="86">
        <v>154960</v>
      </c>
      <c r="K104" s="51"/>
      <c r="L104" s="85">
        <v>920</v>
      </c>
      <c r="M104" s="51"/>
      <c r="N104" s="86">
        <v>187200</v>
      </c>
      <c r="O104" s="51"/>
      <c r="P104" s="85">
        <v>4050</v>
      </c>
      <c r="Q104" s="51"/>
      <c r="R104" s="86">
        <f>1122440+1923400</f>
        <v>3045840</v>
      </c>
      <c r="S104" s="86">
        <f t="shared" si="17"/>
        <v>3388000</v>
      </c>
    </row>
    <row r="105" spans="1:22" x14ac:dyDescent="0.25">
      <c r="A105" s="49" t="s">
        <v>100</v>
      </c>
      <c r="B105" s="278" t="s">
        <v>104</v>
      </c>
      <c r="C105" s="279"/>
      <c r="D105" s="280"/>
      <c r="E105" s="58" t="s">
        <v>73</v>
      </c>
      <c r="F105" s="51"/>
      <c r="G105" s="51"/>
      <c r="I105" s="51"/>
      <c r="J105" s="86">
        <f>21634774</f>
        <v>21634774</v>
      </c>
      <c r="K105" s="51"/>
      <c r="L105" s="86"/>
      <c r="M105" s="51"/>
      <c r="N105" s="51">
        <f>19864517</f>
        <v>19864517</v>
      </c>
      <c r="P105" s="86"/>
      <c r="Q105" s="51"/>
      <c r="R105" s="86">
        <v>32013630</v>
      </c>
      <c r="S105" s="86">
        <f t="shared" si="17"/>
        <v>73512921</v>
      </c>
    </row>
    <row r="106" spans="1:22" x14ac:dyDescent="0.25">
      <c r="A106" s="49" t="s">
        <v>101</v>
      </c>
      <c r="B106" s="278" t="s">
        <v>111</v>
      </c>
      <c r="C106" s="279"/>
      <c r="D106" s="280"/>
      <c r="E106" s="58" t="s">
        <v>73</v>
      </c>
      <c r="F106" s="85">
        <v>660</v>
      </c>
      <c r="G106" s="51"/>
      <c r="H106" s="86"/>
      <c r="I106" s="51"/>
      <c r="J106" s="86">
        <v>64886</v>
      </c>
      <c r="K106" s="51"/>
      <c r="L106" s="85">
        <v>215</v>
      </c>
      <c r="M106" s="51"/>
      <c r="N106" s="51">
        <v>128234</v>
      </c>
      <c r="P106" s="85">
        <v>400</v>
      </c>
      <c r="Q106" s="51"/>
      <c r="R106" s="86">
        <v>169331</v>
      </c>
      <c r="S106" s="86">
        <f t="shared" si="17"/>
        <v>362451</v>
      </c>
    </row>
    <row r="107" spans="1:22" x14ac:dyDescent="0.25">
      <c r="A107" s="94"/>
      <c r="B107" s="332" t="s">
        <v>112</v>
      </c>
      <c r="C107" s="333"/>
      <c r="D107" s="334"/>
      <c r="E107" s="65"/>
      <c r="F107" s="95"/>
      <c r="G107" s="65"/>
      <c r="H107" s="95"/>
      <c r="I107" s="65"/>
      <c r="J107" s="95">
        <f>SUM(J94:J106)</f>
        <v>25424000</v>
      </c>
      <c r="K107" s="65"/>
      <c r="L107" s="95"/>
      <c r="M107" s="65"/>
      <c r="N107" s="95">
        <f>SUM(N94:N106)</f>
        <v>22549300</v>
      </c>
      <c r="O107" s="65"/>
      <c r="P107" s="95"/>
      <c r="Q107" s="65"/>
      <c r="R107" s="95">
        <f>SUM(R94:R106)</f>
        <v>46265700</v>
      </c>
      <c r="S107" s="95">
        <f>SUM(S94:S106)</f>
        <v>94239000</v>
      </c>
      <c r="T107" s="18"/>
      <c r="V107" s="18"/>
    </row>
    <row r="108" spans="1:22" x14ac:dyDescent="0.25">
      <c r="A108" s="54"/>
      <c r="B108" s="54" t="s">
        <v>115</v>
      </c>
      <c r="C108" s="54"/>
      <c r="D108" s="54"/>
      <c r="E108" s="54"/>
      <c r="F108" s="54"/>
      <c r="G108" s="54">
        <v>51128</v>
      </c>
      <c r="H108" s="54"/>
      <c r="I108" s="54"/>
      <c r="J108" s="88">
        <f>J107/G94</f>
        <v>133810.52631578947</v>
      </c>
      <c r="K108" s="54">
        <v>310906</v>
      </c>
      <c r="L108" s="54"/>
      <c r="M108" s="54"/>
      <c r="N108" s="88">
        <f>N107/K94</f>
        <v>42465.725047080981</v>
      </c>
      <c r="O108" s="88">
        <v>242736</v>
      </c>
      <c r="P108" s="88"/>
      <c r="Q108" s="88"/>
      <c r="R108" s="88">
        <f>R107/O94</f>
        <v>81741.519434628979</v>
      </c>
      <c r="S108" s="54">
        <v>82461196</v>
      </c>
    </row>
    <row r="109" spans="1:22" x14ac:dyDescent="0.25">
      <c r="A109" s="54"/>
      <c r="B109" s="54" t="s">
        <v>117</v>
      </c>
      <c r="C109" s="54"/>
      <c r="D109" s="54"/>
      <c r="E109" s="54"/>
      <c r="F109" s="54"/>
      <c r="G109" s="54"/>
      <c r="H109" s="54"/>
      <c r="I109" s="54"/>
      <c r="J109" s="88">
        <f>J107/G108</f>
        <v>497.26177437020812</v>
      </c>
      <c r="K109" s="54"/>
      <c r="L109" s="54"/>
      <c r="M109" s="54"/>
      <c r="N109" s="88">
        <f>N107/K108</f>
        <v>72.527709339800452</v>
      </c>
      <c r="O109" s="54"/>
      <c r="P109" s="54"/>
      <c r="Q109" s="54"/>
      <c r="R109" s="88">
        <f>R107/O108</f>
        <v>190.60089974293058</v>
      </c>
      <c r="S109" s="88">
        <f>S108-S107</f>
        <v>-11777804</v>
      </c>
    </row>
    <row r="110" spans="1:22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88"/>
      <c r="K110" s="54"/>
      <c r="L110" s="54"/>
      <c r="M110" s="54"/>
      <c r="N110" s="88"/>
      <c r="O110" s="54"/>
      <c r="P110" s="54"/>
      <c r="Q110" s="54"/>
      <c r="R110" s="88"/>
      <c r="S110" s="88"/>
    </row>
    <row r="111" spans="1:22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88"/>
      <c r="K111" s="54"/>
      <c r="L111" s="54"/>
      <c r="M111" s="54"/>
      <c r="N111" s="88"/>
      <c r="O111" s="54"/>
      <c r="P111" s="54"/>
      <c r="Q111" s="54"/>
      <c r="R111" s="88"/>
      <c r="S111" s="88"/>
    </row>
    <row r="112" spans="1:22" ht="30" x14ac:dyDescent="0.25">
      <c r="A112" s="379" t="s">
        <v>226</v>
      </c>
      <c r="B112" s="380"/>
      <c r="C112" s="380"/>
      <c r="D112" s="380"/>
      <c r="E112" s="380"/>
      <c r="F112" s="380"/>
      <c r="G112" s="380"/>
      <c r="H112" s="380"/>
      <c r="I112" s="381"/>
      <c r="J112" s="46" t="s">
        <v>198</v>
      </c>
      <c r="K112" s="46" t="s">
        <v>199</v>
      </c>
      <c r="L112" s="46" t="s">
        <v>200</v>
      </c>
      <c r="M112" s="46" t="s">
        <v>183</v>
      </c>
      <c r="N112" s="88"/>
      <c r="O112" s="54"/>
      <c r="P112" s="54"/>
      <c r="Q112" s="54"/>
      <c r="R112" s="88"/>
      <c r="S112" s="88"/>
    </row>
    <row r="113" spans="1:19" x14ac:dyDescent="0.25">
      <c r="A113" s="376" t="s">
        <v>170</v>
      </c>
      <c r="B113" s="377"/>
      <c r="C113" s="377"/>
      <c r="D113" s="377"/>
      <c r="E113" s="377"/>
      <c r="F113" s="377"/>
      <c r="G113" s="377"/>
      <c r="H113" s="377"/>
      <c r="I113" s="378"/>
      <c r="J113" s="118">
        <f>SUM(J114:J116)</f>
        <v>15353460.846000001</v>
      </c>
      <c r="K113" s="118">
        <f t="shared" ref="K113:L113" si="18">SUM(K114:K116)</f>
        <v>15848209.756999999</v>
      </c>
      <c r="L113" s="118">
        <f t="shared" si="18"/>
        <v>25258517.640000001</v>
      </c>
      <c r="M113" s="115">
        <f>SUM(J113:L113)</f>
        <v>56460188.243000001</v>
      </c>
      <c r="N113" s="88"/>
      <c r="O113" s="54"/>
      <c r="P113" s="54"/>
      <c r="Q113" s="54"/>
      <c r="R113" s="88"/>
      <c r="S113" s="88"/>
    </row>
    <row r="114" spans="1:19" x14ac:dyDescent="0.25">
      <c r="A114" s="373" t="s">
        <v>178</v>
      </c>
      <c r="B114" s="374"/>
      <c r="C114" s="374"/>
      <c r="D114" s="374"/>
      <c r="E114" s="374"/>
      <c r="F114" s="374"/>
      <c r="G114" s="374"/>
      <c r="H114" s="374"/>
      <c r="I114" s="375"/>
      <c r="J114" s="7">
        <f>J105*62.9%</f>
        <v>13608272.846000001</v>
      </c>
      <c r="K114" s="7">
        <f>N105*72.1%</f>
        <v>14322316.756999999</v>
      </c>
      <c r="L114" s="7">
        <f>R105*62.8%</f>
        <v>20104559.640000001</v>
      </c>
      <c r="M114" s="119">
        <f t="shared" ref="M114:M116" si="19">SUM(J114:L114)</f>
        <v>48035149.243000001</v>
      </c>
      <c r="N114" s="88"/>
      <c r="O114" s="54"/>
      <c r="P114" s="54"/>
      <c r="Q114" s="54"/>
      <c r="R114" s="88"/>
      <c r="S114" s="88"/>
    </row>
    <row r="115" spans="1:19" x14ac:dyDescent="0.25">
      <c r="A115" s="274" t="s">
        <v>176</v>
      </c>
      <c r="B115" s="369"/>
      <c r="C115" s="369"/>
      <c r="D115" s="369"/>
      <c r="E115" s="369"/>
      <c r="F115" s="369"/>
      <c r="G115" s="369"/>
      <c r="H115" s="369"/>
      <c r="I115" s="275"/>
      <c r="J115" s="22">
        <f>J101+J102</f>
        <v>700000</v>
      </c>
      <c r="K115" s="35">
        <f>N101+N102</f>
        <v>534700</v>
      </c>
      <c r="L115" s="35">
        <f>R101+R102</f>
        <v>1100000</v>
      </c>
      <c r="M115" s="119">
        <f t="shared" si="19"/>
        <v>2334700</v>
      </c>
      <c r="N115" s="88"/>
      <c r="O115" s="54"/>
      <c r="P115" s="54"/>
      <c r="Q115" s="54"/>
      <c r="R115" s="88"/>
      <c r="S115" s="88"/>
    </row>
    <row r="116" spans="1:19" x14ac:dyDescent="0.25">
      <c r="A116" s="274" t="s">
        <v>175</v>
      </c>
      <c r="B116" s="369"/>
      <c r="C116" s="369"/>
      <c r="D116" s="369"/>
      <c r="E116" s="369"/>
      <c r="F116" s="369"/>
      <c r="G116" s="369"/>
      <c r="H116" s="369"/>
      <c r="I116" s="275"/>
      <c r="J116" s="35">
        <f>J94+J95+J104</f>
        <v>1045188</v>
      </c>
      <c r="K116" s="35">
        <f>N94+N95+N104</f>
        <v>991193</v>
      </c>
      <c r="L116" s="35">
        <f>R94+R95+R104</f>
        <v>4053958</v>
      </c>
      <c r="M116" s="119">
        <f t="shared" si="19"/>
        <v>6090339</v>
      </c>
      <c r="N116" s="88"/>
      <c r="O116" s="54"/>
      <c r="P116" s="54"/>
      <c r="Q116" s="54"/>
      <c r="R116" s="88"/>
      <c r="S116" s="88"/>
    </row>
    <row r="117" spans="1:19" x14ac:dyDescent="0.25">
      <c r="A117" s="370" t="s">
        <v>177</v>
      </c>
      <c r="B117" s="371"/>
      <c r="C117" s="371"/>
      <c r="D117" s="371"/>
      <c r="E117" s="371"/>
      <c r="F117" s="371"/>
      <c r="G117" s="371"/>
      <c r="H117" s="371"/>
      <c r="I117" s="372"/>
      <c r="J117" s="114">
        <f>J118+J119+J123+J125+J126</f>
        <v>10070539.153999999</v>
      </c>
      <c r="K117" s="114">
        <f t="shared" ref="K117:L117" si="20">K118+K119+K123+K125+K126</f>
        <v>6701090.2430000007</v>
      </c>
      <c r="L117" s="114">
        <f t="shared" si="20"/>
        <v>21007182.359999999</v>
      </c>
      <c r="M117" s="114">
        <f>SUM(J117:L117)</f>
        <v>37778811.756999999</v>
      </c>
      <c r="N117" s="88"/>
      <c r="O117" s="54"/>
      <c r="P117" s="54"/>
      <c r="Q117" s="54"/>
      <c r="R117" s="88"/>
      <c r="S117" s="88"/>
    </row>
    <row r="118" spans="1:19" x14ac:dyDescent="0.25">
      <c r="A118" s="373" t="s">
        <v>179</v>
      </c>
      <c r="B118" s="374"/>
      <c r="C118" s="374"/>
      <c r="D118" s="374"/>
      <c r="E118" s="374"/>
      <c r="F118" s="374"/>
      <c r="G118" s="374"/>
      <c r="H118" s="374"/>
      <c r="I118" s="375"/>
      <c r="J118" s="113">
        <f>J105-J114</f>
        <v>8026501.1539999992</v>
      </c>
      <c r="K118" s="113">
        <f>N105-K114</f>
        <v>5542200.2430000007</v>
      </c>
      <c r="L118" s="113">
        <f>R105-L114</f>
        <v>11909070.359999999</v>
      </c>
      <c r="M118" s="113">
        <f t="shared" ref="M118:M119" si="21">SUM(J118:L118)</f>
        <v>25477771.756999999</v>
      </c>
      <c r="N118" s="88"/>
      <c r="O118" s="54"/>
      <c r="P118" s="54"/>
      <c r="Q118" s="54"/>
      <c r="R118" s="88"/>
      <c r="S118" s="88"/>
    </row>
    <row r="119" spans="1:19" x14ac:dyDescent="0.25">
      <c r="A119" s="274" t="s">
        <v>171</v>
      </c>
      <c r="B119" s="369"/>
      <c r="C119" s="369"/>
      <c r="D119" s="369"/>
      <c r="E119" s="369"/>
      <c r="F119" s="369"/>
      <c r="G119" s="369"/>
      <c r="H119" s="369"/>
      <c r="I119" s="275"/>
      <c r="J119" s="113">
        <f>SUM(J120:J122)</f>
        <v>503408.7</v>
      </c>
      <c r="K119" s="113">
        <f t="shared" ref="K119:L119" si="22">SUM(K120:K122)</f>
        <v>222399.2</v>
      </c>
      <c r="L119" s="113">
        <f t="shared" si="22"/>
        <v>4191354.1</v>
      </c>
      <c r="M119" s="113">
        <f t="shared" si="21"/>
        <v>4917162</v>
      </c>
      <c r="N119" s="88"/>
      <c r="O119" s="54"/>
      <c r="P119" s="54"/>
      <c r="Q119" s="54"/>
      <c r="R119" s="88"/>
      <c r="S119" s="88"/>
    </row>
    <row r="120" spans="1:19" x14ac:dyDescent="0.25">
      <c r="A120" s="274" t="s">
        <v>172</v>
      </c>
      <c r="B120" s="369"/>
      <c r="C120" s="369"/>
      <c r="D120" s="369"/>
      <c r="E120" s="369"/>
      <c r="F120" s="369"/>
      <c r="G120" s="369"/>
      <c r="H120" s="369"/>
      <c r="I120" s="275"/>
      <c r="J120" s="35">
        <f>19368*90%</f>
        <v>17431.2</v>
      </c>
      <c r="K120" s="35">
        <f>74048*90%</f>
        <v>66643.199999999997</v>
      </c>
      <c r="L120" s="35">
        <f>1230164*90%</f>
        <v>1107147.6000000001</v>
      </c>
      <c r="M120" s="35">
        <f>SUM(J120:L120)</f>
        <v>1191222</v>
      </c>
      <c r="N120" s="88"/>
      <c r="O120" s="54"/>
      <c r="P120" s="54"/>
      <c r="Q120" s="54"/>
      <c r="R120" s="88"/>
      <c r="S120" s="88"/>
    </row>
    <row r="121" spans="1:19" x14ac:dyDescent="0.25">
      <c r="A121" s="274" t="s">
        <v>173</v>
      </c>
      <c r="B121" s="369"/>
      <c r="C121" s="369"/>
      <c r="D121" s="369"/>
      <c r="E121" s="369"/>
      <c r="F121" s="369"/>
      <c r="G121" s="369"/>
      <c r="H121" s="369"/>
      <c r="I121" s="275"/>
      <c r="J121" s="35">
        <f>835135*50%</f>
        <v>417567.5</v>
      </c>
      <c r="K121" s="35">
        <f>249766*50%</f>
        <v>124883</v>
      </c>
      <c r="L121" s="35">
        <f>3000287*50%</f>
        <v>1500143.5</v>
      </c>
      <c r="M121" s="35">
        <f>SUM(J121:L121)</f>
        <v>2042594</v>
      </c>
      <c r="N121" s="88"/>
      <c r="O121" s="54"/>
      <c r="P121" s="54"/>
      <c r="Q121" s="54"/>
      <c r="R121" s="88"/>
      <c r="S121" s="88"/>
    </row>
    <row r="122" spans="1:19" x14ac:dyDescent="0.25">
      <c r="A122" s="274" t="s">
        <v>174</v>
      </c>
      <c r="B122" s="369"/>
      <c r="C122" s="369"/>
      <c r="D122" s="369"/>
      <c r="E122" s="369"/>
      <c r="F122" s="369"/>
      <c r="G122" s="369"/>
      <c r="H122" s="369"/>
      <c r="I122" s="275"/>
      <c r="J122" s="35">
        <f>27860+40550</f>
        <v>68410</v>
      </c>
      <c r="K122" s="35">
        <f>12573+18300</f>
        <v>30873</v>
      </c>
      <c r="L122" s="35">
        <f>615217+968846</f>
        <v>1584063</v>
      </c>
      <c r="M122" s="35">
        <f>SUM(J122:L122)</f>
        <v>1683346</v>
      </c>
      <c r="N122" s="88"/>
      <c r="O122" s="54"/>
      <c r="P122" s="54"/>
      <c r="Q122" s="54"/>
      <c r="R122" s="88"/>
      <c r="S122" s="88"/>
    </row>
    <row r="123" spans="1:19" x14ac:dyDescent="0.25">
      <c r="A123" s="274" t="s">
        <v>180</v>
      </c>
      <c r="B123" s="369"/>
      <c r="C123" s="369"/>
      <c r="D123" s="369"/>
      <c r="E123" s="369"/>
      <c r="F123" s="369"/>
      <c r="G123" s="369"/>
      <c r="H123" s="369"/>
      <c r="I123" s="275"/>
      <c r="J123" s="35">
        <f>J106</f>
        <v>64886</v>
      </c>
      <c r="K123" s="35">
        <f>N106</f>
        <v>128234</v>
      </c>
      <c r="L123" s="35">
        <f>R106</f>
        <v>169331</v>
      </c>
      <c r="M123" s="35">
        <f>SUM(J123:L123)</f>
        <v>362451</v>
      </c>
      <c r="N123" s="88"/>
      <c r="O123" s="54"/>
      <c r="P123" s="54"/>
      <c r="Q123" s="54"/>
      <c r="R123" s="88"/>
      <c r="S123" s="88"/>
    </row>
    <row r="124" spans="1:19" x14ac:dyDescent="0.25">
      <c r="A124" s="274" t="s">
        <v>181</v>
      </c>
      <c r="B124" s="369"/>
      <c r="C124" s="369"/>
      <c r="D124" s="369"/>
      <c r="E124" s="369"/>
      <c r="F124" s="369"/>
      <c r="G124" s="369"/>
      <c r="H124" s="369"/>
      <c r="I124" s="275"/>
      <c r="J124" s="35"/>
      <c r="K124" s="35"/>
      <c r="L124" s="35"/>
      <c r="M124" s="7"/>
      <c r="N124" s="88"/>
      <c r="O124" s="54"/>
      <c r="P124" s="54"/>
      <c r="Q124" s="54"/>
      <c r="R124" s="88"/>
      <c r="S124" s="88"/>
    </row>
    <row r="125" spans="1:19" x14ac:dyDescent="0.25">
      <c r="A125" s="364" t="s">
        <v>182</v>
      </c>
      <c r="B125" s="268"/>
      <c r="C125" s="268"/>
      <c r="D125" s="268"/>
      <c r="E125" s="268"/>
      <c r="F125" s="268"/>
      <c r="G125" s="268"/>
      <c r="H125" s="268"/>
      <c r="I125" s="365"/>
      <c r="J125" s="35">
        <f>J97+J98+J100+J103-J119-J126</f>
        <v>1283002.3</v>
      </c>
      <c r="K125" s="35">
        <f>N97-K119+N98+N100+N103-K126</f>
        <v>597993.80000000005</v>
      </c>
      <c r="L125" s="35">
        <f>R97+-L119+R100+R98+R103-L126</f>
        <v>4352672.9000000004</v>
      </c>
      <c r="M125" s="35">
        <f>SUM(J125:L125)</f>
        <v>6233669</v>
      </c>
      <c r="N125" s="88"/>
      <c r="O125" s="54"/>
      <c r="P125" s="54"/>
      <c r="Q125" s="54"/>
      <c r="R125" s="88"/>
      <c r="S125" s="88"/>
    </row>
    <row r="126" spans="1:19" x14ac:dyDescent="0.25">
      <c r="A126" s="274" t="s">
        <v>175</v>
      </c>
      <c r="B126" s="369"/>
      <c r="C126" s="369"/>
      <c r="D126" s="369"/>
      <c r="E126" s="369"/>
      <c r="F126" s="369"/>
      <c r="G126" s="369"/>
      <c r="H126" s="369"/>
      <c r="I126" s="275"/>
      <c r="J126" s="35">
        <v>192741</v>
      </c>
      <c r="K126" s="35">
        <v>210263</v>
      </c>
      <c r="L126" s="35">
        <v>384754</v>
      </c>
      <c r="M126" s="35">
        <f>SUM(J126:L126)</f>
        <v>787758</v>
      </c>
      <c r="N126" s="88"/>
      <c r="O126" s="54"/>
      <c r="P126" s="54"/>
      <c r="Q126" s="54"/>
      <c r="R126" s="88"/>
      <c r="S126" s="88"/>
    </row>
    <row r="127" spans="1:19" x14ac:dyDescent="0.25">
      <c r="A127" s="274" t="s">
        <v>183</v>
      </c>
      <c r="B127" s="369"/>
      <c r="C127" s="369"/>
      <c r="D127" s="369"/>
      <c r="E127" s="369"/>
      <c r="F127" s="369"/>
      <c r="G127" s="369"/>
      <c r="H127" s="369"/>
      <c r="I127" s="275"/>
      <c r="J127" s="35">
        <f>J113+J117</f>
        <v>25424000</v>
      </c>
      <c r="K127" s="35">
        <f>K113+K117</f>
        <v>22549300</v>
      </c>
      <c r="L127" s="35">
        <f>L113+L117</f>
        <v>46265700</v>
      </c>
      <c r="M127" s="35">
        <f>SUM(J127:L127)</f>
        <v>94239000</v>
      </c>
      <c r="N127" s="88"/>
      <c r="O127" s="54"/>
      <c r="P127" s="54"/>
      <c r="Q127" s="54"/>
      <c r="R127" s="88"/>
      <c r="S127" s="88"/>
    </row>
    <row r="128" spans="1:19" x14ac:dyDescent="0.25">
      <c r="A128" s="274" t="s">
        <v>201</v>
      </c>
      <c r="B128" s="369"/>
      <c r="C128" s="369"/>
      <c r="D128" s="369"/>
      <c r="E128" s="369"/>
      <c r="F128" s="369"/>
      <c r="G128" s="369"/>
      <c r="H128" s="369"/>
      <c r="I128" s="275"/>
      <c r="J128" s="35">
        <f>J127/G108</f>
        <v>497.26177437020812</v>
      </c>
      <c r="K128" s="35">
        <f>K127/K108</f>
        <v>72.527709339800452</v>
      </c>
      <c r="L128" s="35">
        <f>L127/O108</f>
        <v>190.60089974293058</v>
      </c>
      <c r="M128" s="7"/>
      <c r="N128" s="88"/>
      <c r="O128" s="54"/>
      <c r="P128" s="54"/>
      <c r="Q128" s="54"/>
      <c r="R128" s="88"/>
      <c r="S128" s="88"/>
    </row>
    <row r="129" spans="1:27" x14ac:dyDescent="0.25">
      <c r="A129" s="274" t="s">
        <v>202</v>
      </c>
      <c r="B129" s="369"/>
      <c r="C129" s="369"/>
      <c r="D129" s="369"/>
      <c r="E129" s="369"/>
      <c r="F129" s="369"/>
      <c r="G129" s="369"/>
      <c r="H129" s="369"/>
      <c r="I129" s="275"/>
      <c r="J129" s="35">
        <f>J127/G94</f>
        <v>133810.52631578947</v>
      </c>
      <c r="K129" s="35">
        <f>K127/K94</f>
        <v>42465.725047080981</v>
      </c>
      <c r="L129" s="35">
        <f>R107/O94</f>
        <v>81741.519434628979</v>
      </c>
      <c r="M129" s="35"/>
      <c r="N129" s="88"/>
      <c r="O129" s="54"/>
      <c r="P129" s="54"/>
      <c r="Q129" s="54"/>
      <c r="R129" s="88"/>
      <c r="S129" s="88"/>
    </row>
    <row r="130" spans="1:27" x14ac:dyDescent="0.25">
      <c r="A130" s="10"/>
      <c r="B130" s="10"/>
      <c r="C130" s="10"/>
      <c r="D130" s="10"/>
      <c r="E130" s="10"/>
      <c r="F130" s="10"/>
      <c r="G130" s="10"/>
      <c r="H130" s="10"/>
      <c r="I130" s="10"/>
      <c r="J130" s="107"/>
      <c r="K130" s="107"/>
      <c r="L130" s="107"/>
      <c r="M130" s="107"/>
      <c r="N130" s="88"/>
      <c r="O130" s="54"/>
      <c r="P130" s="54"/>
      <c r="Q130" s="54"/>
      <c r="R130" s="88"/>
      <c r="S130" s="88"/>
    </row>
    <row r="131" spans="1:27" x14ac:dyDescent="0.25">
      <c r="A131" s="10"/>
      <c r="B131" s="10"/>
      <c r="C131" s="10"/>
      <c r="D131" s="10"/>
      <c r="E131" s="10"/>
      <c r="F131" s="10"/>
      <c r="G131" s="10"/>
      <c r="H131" s="10"/>
      <c r="I131" s="10"/>
      <c r="J131" s="107"/>
      <c r="K131" s="107"/>
      <c r="L131" s="107"/>
      <c r="M131" s="107"/>
      <c r="N131" s="88"/>
      <c r="O131" s="54"/>
      <c r="P131" s="54"/>
      <c r="Q131" s="54"/>
      <c r="R131" s="88"/>
      <c r="S131" s="88"/>
    </row>
    <row r="132" spans="1:27" x14ac:dyDescent="0.25">
      <c r="A132" s="10"/>
      <c r="B132" s="10"/>
      <c r="C132" s="10"/>
      <c r="D132" s="10"/>
      <c r="E132" s="10"/>
      <c r="F132" s="10"/>
      <c r="G132" s="10"/>
      <c r="H132" s="10"/>
      <c r="I132" s="10"/>
      <c r="J132" s="107"/>
      <c r="K132" s="107"/>
      <c r="L132" s="107"/>
      <c r="M132" s="107"/>
      <c r="N132" s="88"/>
      <c r="O132" s="54"/>
      <c r="P132" s="54"/>
      <c r="Q132" s="54"/>
      <c r="R132" s="88"/>
      <c r="S132" s="88"/>
    </row>
    <row r="133" spans="1:27" x14ac:dyDescent="0.25">
      <c r="A133" s="10"/>
      <c r="B133" s="10"/>
      <c r="C133" s="10"/>
      <c r="D133" s="10"/>
      <c r="E133" s="10"/>
      <c r="F133" s="10"/>
      <c r="G133" s="10"/>
      <c r="H133" s="10"/>
      <c r="I133" s="10"/>
      <c r="J133" s="107"/>
      <c r="K133" s="107"/>
      <c r="L133" s="107"/>
      <c r="M133" s="107"/>
      <c r="N133" s="88"/>
      <c r="O133" s="54"/>
      <c r="P133" s="54"/>
      <c r="Q133" s="54"/>
      <c r="R133" s="88"/>
      <c r="S133" s="88"/>
    </row>
    <row r="134" spans="1:27" ht="17.25" customHeight="1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88"/>
      <c r="K134" s="54"/>
      <c r="L134" s="54"/>
      <c r="M134" s="54"/>
      <c r="N134" s="88"/>
      <c r="O134" s="54"/>
      <c r="P134" s="54"/>
      <c r="Q134" s="54"/>
      <c r="R134" s="88"/>
      <c r="S134" s="88"/>
      <c r="T134" s="1" t="s">
        <v>237</v>
      </c>
      <c r="U134" s="1"/>
      <c r="V134" s="1"/>
      <c r="W134" s="1"/>
    </row>
    <row r="135" spans="1:27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88"/>
      <c r="K135" s="54"/>
      <c r="L135" s="54"/>
      <c r="M135" s="54"/>
      <c r="N135" s="88"/>
      <c r="O135" s="54"/>
      <c r="P135" s="54"/>
      <c r="Q135" s="54"/>
      <c r="R135" s="88"/>
      <c r="S135" s="88"/>
      <c r="T135" s="1" t="s">
        <v>232</v>
      </c>
      <c r="U135" s="1"/>
      <c r="V135" s="1"/>
      <c r="W135" s="1"/>
    </row>
    <row r="136" spans="1:27" x14ac:dyDescent="0.25">
      <c r="T136" s="1" t="s">
        <v>233</v>
      </c>
      <c r="U136" s="1"/>
      <c r="V136" s="1"/>
      <c r="W136" s="1"/>
    </row>
    <row r="137" spans="1:27" x14ac:dyDescent="0.25">
      <c r="A137" s="67"/>
      <c r="B137" s="67"/>
      <c r="C137" s="67"/>
      <c r="D137" s="67"/>
      <c r="E137" s="67"/>
      <c r="F137" s="67"/>
      <c r="G137" s="67"/>
      <c r="H137" s="67"/>
      <c r="I137" s="67"/>
      <c r="J137" s="67"/>
      <c r="K137" s="67"/>
      <c r="L137" s="67"/>
      <c r="M137" s="67"/>
      <c r="N137" s="67"/>
      <c r="O137" s="67"/>
      <c r="P137" s="67"/>
      <c r="Q137" s="67"/>
      <c r="R137" s="67"/>
      <c r="S137" s="67"/>
      <c r="T137" s="1" t="s">
        <v>234</v>
      </c>
      <c r="U137" s="1"/>
      <c r="V137" s="1"/>
      <c r="W137" s="1"/>
      <c r="X137" s="67"/>
      <c r="Y137" s="67"/>
      <c r="Z137" s="67"/>
      <c r="AA137" s="67"/>
    </row>
    <row r="138" spans="1:27" ht="33.75" customHeight="1" x14ac:dyDescent="0.25">
      <c r="A138" s="324" t="s">
        <v>4</v>
      </c>
      <c r="B138" s="326" t="s">
        <v>71</v>
      </c>
      <c r="C138" s="327"/>
      <c r="D138" s="328"/>
      <c r="E138" s="290" t="s">
        <v>2</v>
      </c>
      <c r="F138" s="276" t="s">
        <v>123</v>
      </c>
      <c r="G138" s="281" t="s">
        <v>120</v>
      </c>
      <c r="H138" s="281"/>
      <c r="I138" s="281"/>
      <c r="J138" s="281"/>
      <c r="K138" s="281" t="s">
        <v>118</v>
      </c>
      <c r="L138" s="281"/>
      <c r="M138" s="281"/>
      <c r="N138" s="281"/>
      <c r="O138" s="281" t="s">
        <v>119</v>
      </c>
      <c r="P138" s="281"/>
      <c r="Q138" s="281"/>
      <c r="R138" s="281"/>
      <c r="S138" s="281" t="s">
        <v>129</v>
      </c>
      <c r="T138" s="281"/>
      <c r="U138" s="281"/>
      <c r="V138" s="281"/>
      <c r="W138" s="281" t="s">
        <v>130</v>
      </c>
      <c r="X138" s="281"/>
      <c r="Y138" s="281"/>
      <c r="Z138" s="281"/>
      <c r="AA138" s="67"/>
    </row>
    <row r="139" spans="1:27" ht="89.25" x14ac:dyDescent="0.25">
      <c r="A139" s="325"/>
      <c r="B139" s="329"/>
      <c r="C139" s="330"/>
      <c r="D139" s="331"/>
      <c r="E139" s="291"/>
      <c r="F139" s="277"/>
      <c r="G139" s="47" t="s">
        <v>122</v>
      </c>
      <c r="H139" s="47" t="s">
        <v>13</v>
      </c>
      <c r="I139" s="47" t="s">
        <v>14</v>
      </c>
      <c r="J139" s="47" t="s">
        <v>25</v>
      </c>
      <c r="K139" s="47" t="s">
        <v>122</v>
      </c>
      <c r="L139" s="47" t="s">
        <v>116</v>
      </c>
      <c r="M139" s="47" t="s">
        <v>14</v>
      </c>
      <c r="N139" s="47" t="s">
        <v>25</v>
      </c>
      <c r="O139" s="47" t="s">
        <v>12</v>
      </c>
      <c r="P139" s="47" t="s">
        <v>116</v>
      </c>
      <c r="Q139" s="47" t="s">
        <v>3</v>
      </c>
      <c r="R139" s="47" t="s">
        <v>25</v>
      </c>
      <c r="S139" s="47" t="s">
        <v>121</v>
      </c>
      <c r="T139" s="47" t="s">
        <v>116</v>
      </c>
      <c r="U139" s="47" t="s">
        <v>14</v>
      </c>
      <c r="V139" s="47" t="s">
        <v>25</v>
      </c>
      <c r="W139" s="47" t="s">
        <v>121</v>
      </c>
      <c r="X139" s="47" t="s">
        <v>116</v>
      </c>
      <c r="Y139" s="47" t="s">
        <v>3</v>
      </c>
      <c r="Z139" s="47" t="s">
        <v>25</v>
      </c>
      <c r="AA139" s="67"/>
    </row>
    <row r="140" spans="1:27" x14ac:dyDescent="0.25">
      <c r="A140" s="56" t="s">
        <v>8</v>
      </c>
      <c r="B140" s="278" t="s">
        <v>72</v>
      </c>
      <c r="C140" s="279"/>
      <c r="D140" s="280"/>
      <c r="E140" s="68" t="s">
        <v>73</v>
      </c>
      <c r="F140" s="75">
        <v>35000</v>
      </c>
      <c r="G140" s="69">
        <v>7</v>
      </c>
      <c r="H140" s="71">
        <f>F140*G140</f>
        <v>245000</v>
      </c>
      <c r="I140" s="69">
        <v>14</v>
      </c>
      <c r="J140" s="71">
        <f>382720-100000</f>
        <v>282720</v>
      </c>
      <c r="K140" s="74">
        <v>2</v>
      </c>
      <c r="L140" s="75">
        <f>K140*F140</f>
        <v>70000</v>
      </c>
      <c r="M140" s="69">
        <v>13</v>
      </c>
      <c r="N140" s="71">
        <f>85904-25000</f>
        <v>60904</v>
      </c>
      <c r="O140" s="74">
        <v>1</v>
      </c>
      <c r="P140" s="75">
        <f>O140*F140</f>
        <v>35000</v>
      </c>
      <c r="Q140" s="74"/>
      <c r="R140" s="75">
        <f>49504-30000</f>
        <v>19504</v>
      </c>
      <c r="S140" s="69" t="s">
        <v>131</v>
      </c>
      <c r="T140" s="69">
        <f>(17*35000)+(3*20000)</f>
        <v>655000</v>
      </c>
      <c r="U140" s="69"/>
      <c r="V140" s="69">
        <f>1284820-V141</f>
        <v>834820</v>
      </c>
      <c r="W140" s="69">
        <v>2</v>
      </c>
      <c r="X140" s="69">
        <f>W140*35000</f>
        <v>70000</v>
      </c>
      <c r="Y140" s="69">
        <v>10</v>
      </c>
      <c r="Z140" s="69">
        <f>163588-Z141</f>
        <v>83588</v>
      </c>
      <c r="AA140" s="67"/>
    </row>
    <row r="141" spans="1:27" x14ac:dyDescent="0.25">
      <c r="A141" s="56" t="s">
        <v>17</v>
      </c>
      <c r="B141" s="278" t="s">
        <v>79</v>
      </c>
      <c r="C141" s="279"/>
      <c r="D141" s="280"/>
      <c r="E141" s="68" t="s">
        <v>73</v>
      </c>
      <c r="F141" s="75">
        <v>1325</v>
      </c>
      <c r="G141" s="69">
        <v>41.25</v>
      </c>
      <c r="H141" s="71">
        <f>F141*G141</f>
        <v>54656.25</v>
      </c>
      <c r="I141" s="69">
        <v>45</v>
      </c>
      <c r="J141" s="71">
        <v>100000</v>
      </c>
      <c r="K141" s="74">
        <v>9.5</v>
      </c>
      <c r="L141" s="75">
        <f>1325*9.5</f>
        <v>12587.5</v>
      </c>
      <c r="M141" s="69"/>
      <c r="N141" s="71">
        <v>25000</v>
      </c>
      <c r="O141" s="74">
        <v>6</v>
      </c>
      <c r="P141" s="75">
        <f>F141*6</f>
        <v>7950</v>
      </c>
      <c r="Q141" s="74"/>
      <c r="R141" s="75">
        <v>30000</v>
      </c>
      <c r="S141" s="69" t="s">
        <v>132</v>
      </c>
      <c r="T141" s="69"/>
      <c r="U141" s="69"/>
      <c r="V141" s="69">
        <v>450000</v>
      </c>
      <c r="W141" s="69">
        <v>12</v>
      </c>
      <c r="X141" s="69"/>
      <c r="Y141" s="69"/>
      <c r="Z141" s="69">
        <v>80000</v>
      </c>
      <c r="AA141" s="67"/>
    </row>
    <row r="142" spans="1:27" x14ac:dyDescent="0.25">
      <c r="A142" s="56" t="s">
        <v>20</v>
      </c>
      <c r="B142" s="350" t="s">
        <v>105</v>
      </c>
      <c r="C142" s="351"/>
      <c r="D142" s="352"/>
      <c r="E142" s="68" t="s">
        <v>73</v>
      </c>
      <c r="F142" s="75"/>
      <c r="G142" s="69"/>
      <c r="H142" s="71"/>
      <c r="I142" s="69"/>
      <c r="J142" s="71"/>
      <c r="K142" s="74"/>
      <c r="L142" s="75"/>
      <c r="M142" s="69"/>
      <c r="N142" s="71"/>
      <c r="O142" s="74"/>
      <c r="P142" s="75"/>
      <c r="Q142" s="74"/>
      <c r="S142" s="69"/>
      <c r="T142" s="69"/>
      <c r="U142" s="69"/>
      <c r="V142" s="69"/>
      <c r="W142" s="69"/>
      <c r="X142" s="69"/>
      <c r="Y142" s="69"/>
      <c r="Z142" s="69"/>
      <c r="AA142" s="67"/>
    </row>
    <row r="143" spans="1:27" x14ac:dyDescent="0.25">
      <c r="A143" s="56" t="s">
        <v>27</v>
      </c>
      <c r="B143" s="295" t="s">
        <v>102</v>
      </c>
      <c r="C143" s="295"/>
      <c r="D143" s="295"/>
      <c r="E143" s="68" t="s">
        <v>73</v>
      </c>
      <c r="F143" s="75"/>
      <c r="G143" s="69"/>
      <c r="H143" s="71"/>
      <c r="I143" s="69"/>
      <c r="J143" s="71">
        <v>971330</v>
      </c>
      <c r="K143" s="74"/>
      <c r="L143" s="75"/>
      <c r="M143" s="69"/>
      <c r="N143" s="71">
        <v>348890</v>
      </c>
      <c r="O143" s="74"/>
      <c r="P143" s="75"/>
      <c r="Q143" s="74"/>
      <c r="R143" s="75">
        <v>271430</v>
      </c>
      <c r="S143" s="69"/>
      <c r="T143" s="69"/>
      <c r="U143" s="69"/>
      <c r="V143" s="69">
        <v>1461970</v>
      </c>
      <c r="W143" s="69"/>
      <c r="X143" s="69"/>
      <c r="Y143" s="69"/>
      <c r="Z143" s="69">
        <v>657790</v>
      </c>
      <c r="AA143" s="67"/>
    </row>
    <row r="144" spans="1:27" x14ac:dyDescent="0.25">
      <c r="A144" s="56" t="s">
        <v>83</v>
      </c>
      <c r="B144" s="295" t="s">
        <v>106</v>
      </c>
      <c r="C144" s="295"/>
      <c r="D144" s="295"/>
      <c r="E144" s="68" t="s">
        <v>73</v>
      </c>
      <c r="F144" s="75">
        <v>250</v>
      </c>
      <c r="G144" s="96">
        <v>1075.7</v>
      </c>
      <c r="H144" s="97">
        <f>G144*F144</f>
        <v>268925</v>
      </c>
      <c r="I144" s="69"/>
      <c r="J144" s="343">
        <v>268652</v>
      </c>
      <c r="K144" s="74">
        <v>381.6</v>
      </c>
      <c r="L144" s="75">
        <f>K144*F144</f>
        <v>95400</v>
      </c>
      <c r="M144" s="69">
        <v>23</v>
      </c>
      <c r="N144" s="343">
        <v>123134</v>
      </c>
      <c r="O144" s="74">
        <v>262</v>
      </c>
      <c r="P144" s="75">
        <f>O144*F144</f>
        <v>65500</v>
      </c>
      <c r="Q144" s="74"/>
      <c r="R144" s="348">
        <v>51419</v>
      </c>
      <c r="S144" s="69">
        <v>1841.8</v>
      </c>
      <c r="T144" s="69">
        <v>400</v>
      </c>
      <c r="U144" s="69"/>
      <c r="V144" s="69">
        <v>756145</v>
      </c>
      <c r="W144" s="69"/>
      <c r="X144" s="69"/>
      <c r="Y144" s="69"/>
      <c r="Z144" s="69">
        <v>179266</v>
      </c>
      <c r="AA144" s="67"/>
    </row>
    <row r="145" spans="1:27" x14ac:dyDescent="0.25">
      <c r="A145" s="56" t="s">
        <v>85</v>
      </c>
      <c r="B145" s="295" t="s">
        <v>109</v>
      </c>
      <c r="C145" s="295"/>
      <c r="D145" s="295"/>
      <c r="E145" s="68" t="s">
        <v>73</v>
      </c>
      <c r="F145" s="75"/>
      <c r="G145" s="69">
        <v>1075.7</v>
      </c>
      <c r="H145" s="97">
        <f>G145*F145</f>
        <v>0</v>
      </c>
      <c r="I145" s="69"/>
      <c r="J145" s="344"/>
      <c r="K145" s="74">
        <v>381.6</v>
      </c>
      <c r="L145" s="75">
        <f>K145*F145</f>
        <v>0</v>
      </c>
      <c r="M145" s="69"/>
      <c r="N145" s="344"/>
      <c r="O145" s="74">
        <v>262</v>
      </c>
      <c r="P145" s="75">
        <f>O145*F145</f>
        <v>0</v>
      </c>
      <c r="Q145" s="74"/>
      <c r="R145" s="349"/>
      <c r="S145" s="69">
        <v>1841.8</v>
      </c>
      <c r="T145" s="69">
        <v>400</v>
      </c>
      <c r="U145" s="69"/>
      <c r="W145" s="69"/>
      <c r="X145" s="69"/>
      <c r="Y145" s="69"/>
      <c r="Z145" s="69"/>
      <c r="AA145" s="67"/>
    </row>
    <row r="146" spans="1:27" x14ac:dyDescent="0.25">
      <c r="A146" s="57" t="s">
        <v>87</v>
      </c>
      <c r="B146" s="321" t="s">
        <v>84</v>
      </c>
      <c r="C146" s="322"/>
      <c r="D146" s="323"/>
      <c r="E146" s="98" t="s">
        <v>73</v>
      </c>
      <c r="F146" s="99">
        <v>270</v>
      </c>
      <c r="G146" s="77">
        <v>1075.7</v>
      </c>
      <c r="H146" s="78">
        <f>G146*F146</f>
        <v>290439</v>
      </c>
      <c r="I146" s="77"/>
      <c r="J146" s="78">
        <v>298159</v>
      </c>
      <c r="K146" s="100">
        <v>150</v>
      </c>
      <c r="L146" s="99">
        <f>K145*K146</f>
        <v>57240</v>
      </c>
      <c r="M146" s="77">
        <v>-40</v>
      </c>
      <c r="N146" s="78">
        <v>32890</v>
      </c>
      <c r="O146" s="101">
        <v>150</v>
      </c>
      <c r="P146" s="99">
        <f>O146*O145</f>
        <v>39300</v>
      </c>
      <c r="Q146" s="101"/>
      <c r="R146" s="99">
        <v>62379</v>
      </c>
      <c r="S146" s="69"/>
      <c r="T146" s="69">
        <v>700</v>
      </c>
      <c r="U146" s="69"/>
      <c r="V146" s="69">
        <v>842537</v>
      </c>
      <c r="W146" s="69">
        <v>654.20000000000005</v>
      </c>
      <c r="X146" s="69">
        <v>250</v>
      </c>
      <c r="Y146" s="69"/>
      <c r="Z146" s="69">
        <v>70330</v>
      </c>
      <c r="AA146" s="67"/>
    </row>
    <row r="147" spans="1:27" x14ac:dyDescent="0.25">
      <c r="A147" s="56" t="s">
        <v>89</v>
      </c>
      <c r="B147" s="314" t="s">
        <v>86</v>
      </c>
      <c r="C147" s="315"/>
      <c r="D147" s="316"/>
      <c r="E147" s="98" t="s">
        <v>73</v>
      </c>
      <c r="F147" s="74">
        <v>370</v>
      </c>
      <c r="G147" s="69">
        <v>270</v>
      </c>
      <c r="H147" s="71">
        <f>F147*G147</f>
        <v>99900</v>
      </c>
      <c r="I147" s="69"/>
      <c r="J147" s="75">
        <v>100000</v>
      </c>
      <c r="K147" s="74">
        <v>70</v>
      </c>
      <c r="L147" s="75">
        <f>K147*F147</f>
        <v>25900</v>
      </c>
      <c r="M147" s="74">
        <v>-25</v>
      </c>
      <c r="N147" s="75">
        <v>20000</v>
      </c>
      <c r="O147" s="74">
        <v>24</v>
      </c>
      <c r="P147" s="75">
        <f>O147*F147</f>
        <v>8880</v>
      </c>
      <c r="Q147" s="74"/>
      <c r="R147" s="75">
        <v>20000</v>
      </c>
      <c r="S147" s="69">
        <v>8160</v>
      </c>
      <c r="T147" s="69">
        <v>86</v>
      </c>
      <c r="U147" s="69"/>
      <c r="V147" s="69">
        <v>359770</v>
      </c>
      <c r="W147" s="69"/>
      <c r="X147" s="69"/>
      <c r="Y147" s="69"/>
      <c r="Z147" s="69">
        <v>8000</v>
      </c>
      <c r="AA147" s="67"/>
    </row>
    <row r="148" spans="1:27" x14ac:dyDescent="0.25">
      <c r="A148" s="56" t="s">
        <v>91</v>
      </c>
      <c r="B148" s="314" t="s">
        <v>88</v>
      </c>
      <c r="C148" s="315"/>
      <c r="D148" s="316"/>
      <c r="E148" s="98" t="s">
        <v>73</v>
      </c>
      <c r="F148" s="74">
        <v>370</v>
      </c>
      <c r="G148" s="69">
        <v>1075.7</v>
      </c>
      <c r="H148" s="71">
        <f>700*G148</f>
        <v>752990</v>
      </c>
      <c r="I148" s="69"/>
      <c r="J148" s="75">
        <v>100000</v>
      </c>
      <c r="K148" s="74">
        <v>381.6</v>
      </c>
      <c r="L148" s="75"/>
      <c r="M148" s="74"/>
      <c r="N148" s="75">
        <v>20000</v>
      </c>
      <c r="O148" s="74">
        <v>262</v>
      </c>
      <c r="P148" s="75">
        <f>O148*200</f>
        <v>52400</v>
      </c>
      <c r="Q148" s="74"/>
      <c r="R148" s="75">
        <v>20000</v>
      </c>
      <c r="S148" s="69"/>
      <c r="T148" s="69">
        <v>72</v>
      </c>
      <c r="U148" s="69"/>
      <c r="V148" s="69">
        <v>525147</v>
      </c>
      <c r="W148" s="69"/>
      <c r="X148" s="69"/>
      <c r="Y148" s="69"/>
      <c r="Z148" s="69">
        <v>10000</v>
      </c>
      <c r="AA148" s="67"/>
    </row>
    <row r="149" spans="1:27" x14ac:dyDescent="0.25">
      <c r="A149" s="56" t="s">
        <v>93</v>
      </c>
      <c r="B149" s="292" t="s">
        <v>90</v>
      </c>
      <c r="C149" s="293"/>
      <c r="D149" s="294"/>
      <c r="E149" s="98" t="s">
        <v>73</v>
      </c>
      <c r="F149" s="74"/>
      <c r="G149" s="69"/>
      <c r="H149" s="67"/>
      <c r="I149" s="69"/>
      <c r="J149" s="120">
        <v>33690</v>
      </c>
      <c r="K149" s="74"/>
      <c r="L149" s="75"/>
      <c r="M149" s="74"/>
      <c r="N149" s="75">
        <v>432101</v>
      </c>
      <c r="O149" s="74"/>
      <c r="P149" s="75"/>
      <c r="Q149" s="74"/>
      <c r="R149" s="75">
        <v>58072</v>
      </c>
      <c r="S149" s="69"/>
      <c r="T149" s="69"/>
      <c r="U149" s="69"/>
      <c r="V149" s="69">
        <v>451592</v>
      </c>
      <c r="W149" s="69"/>
      <c r="X149" s="69"/>
      <c r="Y149" s="69"/>
      <c r="Z149" s="69">
        <v>4079</v>
      </c>
      <c r="AA149" s="67"/>
    </row>
    <row r="150" spans="1:27" x14ac:dyDescent="0.25">
      <c r="A150" s="56">
        <v>11</v>
      </c>
      <c r="B150" s="295" t="s">
        <v>95</v>
      </c>
      <c r="C150" s="295"/>
      <c r="D150" s="295"/>
      <c r="E150" s="98" t="s">
        <v>73</v>
      </c>
      <c r="F150" s="74">
        <v>370</v>
      </c>
      <c r="G150" s="69">
        <v>270</v>
      </c>
      <c r="H150" s="71">
        <f>1150*260</f>
        <v>299000</v>
      </c>
      <c r="I150" s="69"/>
      <c r="J150" s="71">
        <v>100000</v>
      </c>
      <c r="K150" s="74">
        <v>70</v>
      </c>
      <c r="L150" s="75">
        <f>F149:F150*K150</f>
        <v>25900</v>
      </c>
      <c r="M150" s="69">
        <v>-42</v>
      </c>
      <c r="N150" s="71">
        <f>447101-N149</f>
        <v>15000</v>
      </c>
      <c r="O150" s="74">
        <v>24</v>
      </c>
      <c r="P150" s="75">
        <f>O150*F150</f>
        <v>8880</v>
      </c>
      <c r="Q150" s="74"/>
      <c r="R150" s="75">
        <f>73072-R149</f>
        <v>15000</v>
      </c>
      <c r="S150" s="69"/>
      <c r="T150" s="69"/>
      <c r="U150" s="69"/>
      <c r="V150" s="69">
        <f>586792-V149</f>
        <v>135200</v>
      </c>
      <c r="W150" s="69"/>
      <c r="X150" s="69"/>
      <c r="Y150" s="69"/>
      <c r="Z150" s="69">
        <f>26148-Z149</f>
        <v>22069</v>
      </c>
      <c r="AA150" s="67"/>
    </row>
    <row r="151" spans="1:27" x14ac:dyDescent="0.25">
      <c r="A151" s="56" t="s">
        <v>100</v>
      </c>
      <c r="B151" s="278" t="s">
        <v>104</v>
      </c>
      <c r="C151" s="279"/>
      <c r="D151" s="280"/>
      <c r="E151" s="98" t="s">
        <v>73</v>
      </c>
      <c r="F151" s="74"/>
      <c r="G151" s="69"/>
      <c r="H151" s="71"/>
      <c r="I151" s="69"/>
      <c r="J151" s="71">
        <v>24319169</v>
      </c>
      <c r="K151" s="74"/>
      <c r="L151" s="75"/>
      <c r="M151" s="69"/>
      <c r="N151" s="71">
        <v>5061481</v>
      </c>
      <c r="O151" s="74"/>
      <c r="P151" s="75"/>
      <c r="Q151" s="74"/>
      <c r="R151" s="75">
        <v>3515796</v>
      </c>
      <c r="S151" s="69"/>
      <c r="T151" s="69"/>
      <c r="U151" s="69"/>
      <c r="V151" s="69">
        <v>30601749</v>
      </c>
      <c r="W151" s="69"/>
      <c r="X151" s="69"/>
      <c r="Y151" s="69"/>
      <c r="Z151" s="69">
        <v>7884978</v>
      </c>
      <c r="AA151" s="67"/>
    </row>
    <row r="152" spans="1:27" x14ac:dyDescent="0.25">
      <c r="A152" s="56" t="s">
        <v>101</v>
      </c>
      <c r="B152" s="278" t="s">
        <v>111</v>
      </c>
      <c r="C152" s="279"/>
      <c r="D152" s="280"/>
      <c r="E152" s="98" t="s">
        <v>73</v>
      </c>
      <c r="F152" s="75"/>
      <c r="G152" s="69"/>
      <c r="H152" s="71"/>
      <c r="I152" s="69"/>
      <c r="J152" s="71">
        <v>127180</v>
      </c>
      <c r="K152" s="74"/>
      <c r="L152" s="75"/>
      <c r="M152" s="69"/>
      <c r="N152" s="71">
        <v>95000</v>
      </c>
      <c r="O152" s="74"/>
      <c r="P152" s="75"/>
      <c r="Q152" s="74"/>
      <c r="R152" s="75">
        <v>121000</v>
      </c>
      <c r="S152" s="69"/>
      <c r="T152" s="69"/>
      <c r="U152" s="69"/>
      <c r="V152" s="69">
        <v>685470</v>
      </c>
      <c r="W152" s="69"/>
      <c r="X152" s="69"/>
      <c r="Y152" s="69"/>
      <c r="Z152" s="69">
        <v>90000</v>
      </c>
      <c r="AA152" s="67"/>
    </row>
    <row r="153" spans="1:27" x14ac:dyDescent="0.25">
      <c r="A153" s="102"/>
      <c r="B153" s="345" t="s">
        <v>112</v>
      </c>
      <c r="C153" s="346"/>
      <c r="D153" s="347"/>
      <c r="E153" s="80"/>
      <c r="F153" s="81"/>
      <c r="G153" s="80"/>
      <c r="H153" s="81"/>
      <c r="I153" s="80"/>
      <c r="J153" s="81">
        <f>SUM(J140:J152)</f>
        <v>26700900</v>
      </c>
      <c r="K153" s="80"/>
      <c r="L153" s="81"/>
      <c r="M153" s="80"/>
      <c r="N153" s="81">
        <f>SUM(N140:N152)</f>
        <v>6234400</v>
      </c>
      <c r="O153" s="80"/>
      <c r="P153" s="81"/>
      <c r="Q153" s="80"/>
      <c r="R153" s="81">
        <f>SUM(R140:R152)</f>
        <v>4184600</v>
      </c>
      <c r="S153" s="80"/>
      <c r="T153" s="80"/>
      <c r="U153" s="80"/>
      <c r="V153" s="80">
        <f>SUM(V140:V152)</f>
        <v>37104400</v>
      </c>
      <c r="W153" s="80"/>
      <c r="X153" s="80"/>
      <c r="Y153" s="80"/>
      <c r="Z153" s="80">
        <f>SUM(Z140:Z152)</f>
        <v>9090100</v>
      </c>
      <c r="AA153" s="67"/>
    </row>
    <row r="154" spans="1:27" x14ac:dyDescent="0.25">
      <c r="A154" s="67"/>
      <c r="B154" s="67"/>
      <c r="C154" s="67" t="s">
        <v>227</v>
      </c>
      <c r="D154" s="67"/>
      <c r="E154" s="67"/>
      <c r="F154" s="67"/>
      <c r="G154" s="67"/>
      <c r="H154" s="67"/>
      <c r="I154" s="67"/>
      <c r="J154" s="97">
        <f>(J147+J150)/260</f>
        <v>769.23076923076928</v>
      </c>
      <c r="K154" s="67"/>
      <c r="L154" s="67"/>
      <c r="M154" s="67"/>
      <c r="N154" s="67"/>
      <c r="O154" s="67"/>
      <c r="P154" s="67"/>
      <c r="Q154" s="67"/>
      <c r="R154" s="67"/>
      <c r="S154" s="67">
        <v>74500</v>
      </c>
      <c r="T154" s="67"/>
      <c r="U154" s="67"/>
      <c r="V154" s="97">
        <f>V153/8160</f>
        <v>4547.1078431372553</v>
      </c>
      <c r="W154" s="67" t="s">
        <v>133</v>
      </c>
      <c r="X154" s="67"/>
      <c r="Y154" s="67"/>
      <c r="Z154" s="67"/>
      <c r="AA154" s="67"/>
    </row>
    <row r="155" spans="1:27" x14ac:dyDescent="0.25">
      <c r="A155" s="67"/>
      <c r="B155" s="67"/>
      <c r="C155" s="67" t="s">
        <v>126</v>
      </c>
      <c r="D155" s="67"/>
      <c r="E155" s="67"/>
      <c r="F155" s="67"/>
      <c r="G155" s="67"/>
      <c r="H155" s="67"/>
      <c r="I155" s="67"/>
      <c r="J155" s="97">
        <f>(J144+J146+J148+J143)/1075.7</f>
        <v>1522.8604629543552</v>
      </c>
      <c r="K155" s="67"/>
      <c r="L155" s="67"/>
      <c r="M155" s="67"/>
      <c r="N155" s="67"/>
      <c r="O155" s="67"/>
      <c r="P155" s="67"/>
      <c r="Q155" s="67"/>
      <c r="R155" s="67"/>
      <c r="S155" s="67" t="s">
        <v>134</v>
      </c>
      <c r="T155" s="67"/>
      <c r="U155" s="67"/>
      <c r="V155" s="18">
        <f>V153/S154</f>
        <v>498.04563758389264</v>
      </c>
      <c r="W155" s="67"/>
      <c r="AA155" s="67"/>
    </row>
    <row r="156" spans="1:27" x14ac:dyDescent="0.25">
      <c r="A156" s="67"/>
      <c r="B156" s="67"/>
      <c r="C156" s="67" t="s">
        <v>127</v>
      </c>
      <c r="D156" s="67"/>
      <c r="E156" s="67"/>
      <c r="F156" s="67"/>
      <c r="G156" s="67"/>
      <c r="H156" s="67"/>
      <c r="I156" s="67"/>
      <c r="J156" s="97">
        <f>(J140+J141+J151+J152)/41.25</f>
        <v>601916.82424242422</v>
      </c>
      <c r="K156" s="67"/>
      <c r="L156" s="67"/>
      <c r="M156" s="67"/>
      <c r="N156" s="67"/>
      <c r="O156" s="67"/>
      <c r="P156" s="67"/>
      <c r="Q156" s="67"/>
      <c r="R156" s="67"/>
      <c r="S156" s="67"/>
      <c r="T156" s="67"/>
      <c r="U156" s="67"/>
      <c r="V156" s="67"/>
      <c r="W156" s="67" t="s">
        <v>228</v>
      </c>
      <c r="X156" s="67"/>
      <c r="Y156" s="67"/>
      <c r="Z156" s="67"/>
      <c r="AA156" s="67"/>
    </row>
    <row r="157" spans="1:27" x14ac:dyDescent="0.25">
      <c r="A157" s="67"/>
      <c r="B157" s="67"/>
      <c r="C157" s="67"/>
      <c r="D157" s="67"/>
      <c r="E157" s="67"/>
      <c r="F157" s="67"/>
      <c r="G157" s="67"/>
      <c r="H157" s="67"/>
      <c r="I157" s="67"/>
      <c r="J157" s="67"/>
      <c r="K157" s="67"/>
      <c r="L157" s="67"/>
      <c r="M157" s="67"/>
      <c r="N157" s="67"/>
      <c r="O157" s="67"/>
      <c r="P157" s="67"/>
      <c r="Q157" s="67"/>
      <c r="R157" s="67"/>
      <c r="S157" s="67"/>
      <c r="T157" s="67"/>
      <c r="U157" s="67"/>
      <c r="V157" s="67"/>
      <c r="W157" s="67"/>
      <c r="X157" s="67"/>
      <c r="Y157" s="97"/>
      <c r="Z157" s="97">
        <f>Z153/9836</f>
        <v>924.16632777551854</v>
      </c>
      <c r="AA157" s="97"/>
    </row>
    <row r="158" spans="1:27" x14ac:dyDescent="0.25">
      <c r="A158" s="67"/>
      <c r="B158" s="67"/>
      <c r="C158" s="67" t="s">
        <v>128</v>
      </c>
      <c r="D158" s="67"/>
      <c r="E158" s="67"/>
      <c r="F158" s="67"/>
      <c r="G158" s="67"/>
      <c r="H158" s="67"/>
      <c r="I158" s="67"/>
      <c r="J158" s="97">
        <f>J153/270</f>
        <v>98892.222222222219</v>
      </c>
      <c r="K158" s="97"/>
      <c r="L158" s="97"/>
      <c r="M158" s="97"/>
      <c r="N158" s="97">
        <f>N153/K150</f>
        <v>89062.857142857145</v>
      </c>
      <c r="O158" s="97"/>
      <c r="P158" s="97"/>
      <c r="Q158" s="97"/>
      <c r="R158" s="97">
        <f>R153/24</f>
        <v>174358.33333333334</v>
      </c>
      <c r="S158" s="67"/>
      <c r="T158" s="67"/>
      <c r="U158" s="67"/>
      <c r="V158" s="67"/>
      <c r="W158" s="67"/>
      <c r="X158" s="67"/>
      <c r="Y158" s="67"/>
      <c r="Z158" s="67"/>
      <c r="AA158" s="67"/>
    </row>
    <row r="159" spans="1:27" x14ac:dyDescent="0.25">
      <c r="A159" s="67"/>
      <c r="B159" s="67"/>
      <c r="C159" s="67"/>
      <c r="D159" s="67"/>
      <c r="E159" s="67"/>
      <c r="F159" s="67"/>
      <c r="G159" s="67"/>
      <c r="H159" s="67"/>
      <c r="I159" s="67"/>
      <c r="J159" s="97"/>
      <c r="K159" s="97"/>
      <c r="L159" s="97"/>
      <c r="M159" s="97"/>
      <c r="N159" s="97"/>
      <c r="O159" s="97"/>
      <c r="P159" s="97"/>
      <c r="Q159" s="97"/>
      <c r="R159" s="97"/>
      <c r="S159" s="67"/>
      <c r="T159" s="67"/>
      <c r="U159" s="67"/>
      <c r="V159" s="67"/>
      <c r="W159" s="67"/>
      <c r="X159" s="67"/>
      <c r="Y159" s="67"/>
      <c r="Z159" s="67"/>
      <c r="AA159" s="67"/>
    </row>
    <row r="160" spans="1:27" x14ac:dyDescent="0.25">
      <c r="J160" s="18"/>
      <c r="K160" s="18"/>
      <c r="L160" s="18"/>
      <c r="M160" s="18"/>
      <c r="N160" s="18"/>
      <c r="O160" s="18"/>
      <c r="P160" s="18"/>
      <c r="Q160" s="18"/>
      <c r="R160" s="18"/>
    </row>
    <row r="161" spans="1:18" x14ac:dyDescent="0.25">
      <c r="J161" s="18"/>
      <c r="K161" s="18"/>
      <c r="L161" s="18"/>
      <c r="M161" s="18"/>
      <c r="N161" s="18"/>
      <c r="O161" s="18"/>
      <c r="P161" s="18"/>
      <c r="Q161" s="18"/>
      <c r="R161" s="18"/>
    </row>
    <row r="163" spans="1:18" ht="45" x14ac:dyDescent="0.25">
      <c r="A163" s="376" t="s">
        <v>229</v>
      </c>
      <c r="B163" s="377"/>
      <c r="C163" s="377"/>
      <c r="D163" s="377"/>
      <c r="E163" s="377"/>
      <c r="F163" s="377"/>
      <c r="G163" s="377"/>
      <c r="H163" s="377"/>
      <c r="I163" s="378"/>
      <c r="J163" s="4" t="s">
        <v>204</v>
      </c>
      <c r="K163" s="4" t="s">
        <v>205</v>
      </c>
      <c r="L163" s="46" t="s">
        <v>206</v>
      </c>
      <c r="M163" s="46" t="s">
        <v>207</v>
      </c>
      <c r="N163" s="46" t="s">
        <v>208</v>
      </c>
      <c r="O163" s="4" t="s">
        <v>183</v>
      </c>
    </row>
    <row r="164" spans="1:18" x14ac:dyDescent="0.25">
      <c r="A164" s="376" t="s">
        <v>171</v>
      </c>
      <c r="B164" s="377"/>
      <c r="C164" s="377"/>
      <c r="D164" s="377"/>
      <c r="E164" s="377"/>
      <c r="F164" s="377"/>
      <c r="G164" s="377"/>
      <c r="H164" s="377"/>
      <c r="I164" s="378"/>
      <c r="J164" s="115">
        <f>SUM(J165:J167)</f>
        <v>15833562.287</v>
      </c>
      <c r="K164" s="115">
        <f t="shared" ref="K164:N164" si="23">SUM(K165:K167)</f>
        <v>1765639.4010000001</v>
      </c>
      <c r="L164" s="115">
        <f t="shared" si="23"/>
        <v>1570590.932</v>
      </c>
      <c r="M164" s="115">
        <f t="shared" si="23"/>
        <v>27092353.690000001</v>
      </c>
      <c r="N164" s="115">
        <f t="shared" si="23"/>
        <v>3854401.8139999998</v>
      </c>
      <c r="O164" s="115">
        <f t="shared" ref="O164:O171" si="24">SUM(J164:N164)</f>
        <v>50116548.124000005</v>
      </c>
      <c r="P164" s="31"/>
    </row>
    <row r="165" spans="1:18" x14ac:dyDescent="0.25">
      <c r="A165" s="373" t="s">
        <v>178</v>
      </c>
      <c r="B165" s="374"/>
      <c r="C165" s="374"/>
      <c r="D165" s="374"/>
      <c r="E165" s="374"/>
      <c r="F165" s="374"/>
      <c r="G165" s="374"/>
      <c r="H165" s="374"/>
      <c r="I165" s="375"/>
      <c r="J165" s="7">
        <f>J151*62.3%</f>
        <v>15150842.287</v>
      </c>
      <c r="K165" s="7">
        <f>N151*32.1%</f>
        <v>1624735.4010000001</v>
      </c>
      <c r="L165" s="7">
        <f>R151*41.7%</f>
        <v>1466086.932</v>
      </c>
      <c r="M165" s="7">
        <f>V151*81%</f>
        <v>24787416.690000001</v>
      </c>
      <c r="N165" s="7">
        <f>Z151*46.3%</f>
        <v>3650744.8139999998</v>
      </c>
      <c r="O165" s="7">
        <f t="shared" si="24"/>
        <v>46679826.124000005</v>
      </c>
    </row>
    <row r="166" spans="1:18" x14ac:dyDescent="0.25">
      <c r="A166" s="274" t="s">
        <v>176</v>
      </c>
      <c r="B166" s="369"/>
      <c r="C166" s="369"/>
      <c r="D166" s="369"/>
      <c r="E166" s="369"/>
      <c r="F166" s="369"/>
      <c r="G166" s="369"/>
      <c r="H166" s="369"/>
      <c r="I166" s="275"/>
      <c r="J166" s="35">
        <f>J147+J148</f>
        <v>200000</v>
      </c>
      <c r="K166" s="35">
        <f>N147+N148</f>
        <v>40000</v>
      </c>
      <c r="L166" s="35">
        <f>R147+R148</f>
        <v>40000</v>
      </c>
      <c r="M166" s="35">
        <f>V147+V148</f>
        <v>884917</v>
      </c>
      <c r="N166" s="35">
        <f>Z147+Z148</f>
        <v>18000</v>
      </c>
      <c r="O166" s="35">
        <f t="shared" si="24"/>
        <v>1182917</v>
      </c>
    </row>
    <row r="167" spans="1:18" x14ac:dyDescent="0.25">
      <c r="A167" s="274" t="s">
        <v>175</v>
      </c>
      <c r="B167" s="369"/>
      <c r="C167" s="369"/>
      <c r="D167" s="369"/>
      <c r="E167" s="369"/>
      <c r="F167" s="369"/>
      <c r="G167" s="369"/>
      <c r="H167" s="369"/>
      <c r="I167" s="275"/>
      <c r="J167" s="35">
        <f>J140+J141+J150</f>
        <v>482720</v>
      </c>
      <c r="K167" s="35">
        <f>N140+N141+N150</f>
        <v>100904</v>
      </c>
      <c r="L167" s="35">
        <f>R140+R141+R150</f>
        <v>64504</v>
      </c>
      <c r="M167" s="35">
        <f>V140+V141+V150</f>
        <v>1420020</v>
      </c>
      <c r="N167" s="35">
        <f>Z140+Z141+Z150</f>
        <v>185657</v>
      </c>
      <c r="O167" s="35">
        <f t="shared" si="24"/>
        <v>2253805</v>
      </c>
    </row>
    <row r="168" spans="1:18" x14ac:dyDescent="0.25">
      <c r="A168" s="370" t="s">
        <v>177</v>
      </c>
      <c r="B168" s="371"/>
      <c r="C168" s="371"/>
      <c r="D168" s="371"/>
      <c r="E168" s="371"/>
      <c r="F168" s="371"/>
      <c r="G168" s="371"/>
      <c r="H168" s="371"/>
      <c r="I168" s="372"/>
      <c r="J168" s="114">
        <f>J169+J170+J174+J176+J177</f>
        <v>10867337.713</v>
      </c>
      <c r="K168" s="114">
        <f t="shared" ref="K168:N168" si="25">K169+K170+K174+K176+K177</f>
        <v>4468760.5989999995</v>
      </c>
      <c r="L168" s="114">
        <f>L169+L170+L174+L176+L177</f>
        <v>2614009.068</v>
      </c>
      <c r="M168" s="114">
        <f t="shared" si="25"/>
        <v>10012046.309999999</v>
      </c>
      <c r="N168" s="114">
        <f t="shared" si="25"/>
        <v>5235698.1860000007</v>
      </c>
      <c r="O168" s="114">
        <f t="shared" si="24"/>
        <v>33197851.875999998</v>
      </c>
    </row>
    <row r="169" spans="1:18" x14ac:dyDescent="0.25">
      <c r="A169" s="373" t="s">
        <v>179</v>
      </c>
      <c r="B169" s="374"/>
      <c r="C169" s="374"/>
      <c r="D169" s="374"/>
      <c r="E169" s="374"/>
      <c r="F169" s="374"/>
      <c r="G169" s="374"/>
      <c r="H169" s="374"/>
      <c r="I169" s="375"/>
      <c r="J169" s="113">
        <f>J151-J165</f>
        <v>9168326.7129999995</v>
      </c>
      <c r="K169" s="113">
        <f>N151-K165</f>
        <v>3436745.5989999999</v>
      </c>
      <c r="L169" s="113">
        <f>R151-L165</f>
        <v>2049709.068</v>
      </c>
      <c r="M169" s="113">
        <f>V151-M165</f>
        <v>5814332.3099999987</v>
      </c>
      <c r="N169" s="113">
        <f>Z151-N165</f>
        <v>4234233.1860000007</v>
      </c>
      <c r="O169" s="113">
        <f t="shared" si="24"/>
        <v>24703346.875999998</v>
      </c>
    </row>
    <row r="170" spans="1:18" x14ac:dyDescent="0.25">
      <c r="A170" s="274" t="s">
        <v>171</v>
      </c>
      <c r="B170" s="369"/>
      <c r="C170" s="369"/>
      <c r="D170" s="369"/>
      <c r="E170" s="369"/>
      <c r="F170" s="369"/>
      <c r="G170" s="369"/>
      <c r="H170" s="369"/>
      <c r="I170" s="275"/>
      <c r="J170" s="113">
        <f>SUM(J171:J173)</f>
        <v>806810.2</v>
      </c>
      <c r="K170" s="113">
        <f t="shared" ref="K170:N170" si="26">SUM(K171:K173)</f>
        <v>217341.9</v>
      </c>
      <c r="L170" s="113">
        <f t="shared" si="26"/>
        <v>296001</v>
      </c>
      <c r="M170" s="113">
        <f t="shared" si="26"/>
        <v>800419.9</v>
      </c>
      <c r="N170" s="113">
        <f t="shared" si="26"/>
        <v>377829.5</v>
      </c>
      <c r="O170" s="113">
        <f t="shared" si="24"/>
        <v>2498402.5</v>
      </c>
      <c r="P170" s="31"/>
    </row>
    <row r="171" spans="1:18" x14ac:dyDescent="0.25">
      <c r="A171" s="274" t="s">
        <v>172</v>
      </c>
      <c r="B171" s="369"/>
      <c r="C171" s="369"/>
      <c r="D171" s="369"/>
      <c r="E171" s="369"/>
      <c r="F171" s="369"/>
      <c r="G171" s="369"/>
      <c r="H171" s="369"/>
      <c r="I171" s="275"/>
      <c r="J171" s="35">
        <f>152523*90%</f>
        <v>137270.70000000001</v>
      </c>
      <c r="K171" s="35">
        <f>57581*90%</f>
        <v>51822.9</v>
      </c>
      <c r="L171" s="35">
        <f>20535*90%</f>
        <v>18481.5</v>
      </c>
      <c r="M171" s="35">
        <f>163486*90%</f>
        <v>147137.4</v>
      </c>
      <c r="N171" s="35">
        <f>54140*90%</f>
        <v>48726</v>
      </c>
      <c r="O171" s="35">
        <f t="shared" si="24"/>
        <v>403438.5</v>
      </c>
    </row>
    <row r="172" spans="1:18" x14ac:dyDescent="0.25">
      <c r="A172" s="274" t="s">
        <v>173</v>
      </c>
      <c r="B172" s="369"/>
      <c r="C172" s="369"/>
      <c r="D172" s="369"/>
      <c r="E172" s="369"/>
      <c r="F172" s="369"/>
      <c r="G172" s="369"/>
      <c r="H172" s="369"/>
      <c r="I172" s="275"/>
      <c r="J172" s="35">
        <f>1122969*50%</f>
        <v>561484.5</v>
      </c>
      <c r="K172" s="35">
        <f>294552*50%</f>
        <v>147276</v>
      </c>
      <c r="L172" s="35">
        <f>546753*50%</f>
        <v>273376.5</v>
      </c>
      <c r="M172" s="35">
        <f>1290405*50%</f>
        <v>645202.5</v>
      </c>
      <c r="N172" s="35">
        <f>609093*50%</f>
        <v>304546.5</v>
      </c>
      <c r="O172" s="35">
        <f t="shared" ref="O172:O174" si="27">SUM(J172:N172)</f>
        <v>1931886</v>
      </c>
    </row>
    <row r="173" spans="1:18" x14ac:dyDescent="0.25">
      <c r="A173" s="274" t="s">
        <v>174</v>
      </c>
      <c r="B173" s="369"/>
      <c r="C173" s="369"/>
      <c r="D173" s="369"/>
      <c r="E173" s="369"/>
      <c r="F173" s="369"/>
      <c r="G173" s="369"/>
      <c r="H173" s="369"/>
      <c r="I173" s="275"/>
      <c r="J173" s="35">
        <f>44005+64050</f>
        <v>108055</v>
      </c>
      <c r="K173" s="35">
        <f>7429+10814</f>
        <v>18243</v>
      </c>
      <c r="L173" s="35">
        <v>4143</v>
      </c>
      <c r="M173" s="35">
        <f>3714+4366</f>
        <v>8080</v>
      </c>
      <c r="N173" s="35">
        <f>10001+14556</f>
        <v>24557</v>
      </c>
      <c r="O173" s="35">
        <f t="shared" si="27"/>
        <v>163078</v>
      </c>
    </row>
    <row r="174" spans="1:18" x14ac:dyDescent="0.25">
      <c r="A174" s="274" t="s">
        <v>180</v>
      </c>
      <c r="B174" s="369"/>
      <c r="C174" s="369"/>
      <c r="D174" s="369"/>
      <c r="E174" s="369"/>
      <c r="F174" s="369"/>
      <c r="G174" s="369"/>
      <c r="H174" s="369"/>
      <c r="I174" s="275"/>
      <c r="J174" s="35">
        <f>J152</f>
        <v>127180</v>
      </c>
      <c r="K174" s="35">
        <f>N152</f>
        <v>95000</v>
      </c>
      <c r="L174" s="35">
        <f>R152</f>
        <v>121000</v>
      </c>
      <c r="M174" s="35">
        <f>V152</f>
        <v>685470</v>
      </c>
      <c r="N174" s="35">
        <f>Z152</f>
        <v>90000</v>
      </c>
      <c r="O174" s="35">
        <f t="shared" si="27"/>
        <v>1118650</v>
      </c>
    </row>
    <row r="175" spans="1:18" x14ac:dyDescent="0.25">
      <c r="A175" s="274" t="s">
        <v>181</v>
      </c>
      <c r="B175" s="369"/>
      <c r="C175" s="369"/>
      <c r="D175" s="369"/>
      <c r="E175" s="369"/>
      <c r="F175" s="369"/>
      <c r="G175" s="369"/>
      <c r="H175" s="369"/>
      <c r="I175" s="275"/>
      <c r="J175" s="35"/>
      <c r="K175" s="35"/>
      <c r="L175" s="35"/>
      <c r="M175" s="35"/>
      <c r="N175" s="35"/>
      <c r="O175" s="7"/>
    </row>
    <row r="176" spans="1:18" x14ac:dyDescent="0.25">
      <c r="A176" s="364" t="s">
        <v>182</v>
      </c>
      <c r="B176" s="268"/>
      <c r="C176" s="268"/>
      <c r="D176" s="268"/>
      <c r="E176" s="268"/>
      <c r="F176" s="268"/>
      <c r="G176" s="268"/>
      <c r="H176" s="268"/>
      <c r="I176" s="365"/>
      <c r="J176" s="35">
        <f>J143-J170+J144+J146+J149-J177</f>
        <v>519713.80000000005</v>
      </c>
      <c r="K176" s="35">
        <f>N143-K170+N144+N146+N149-K177</f>
        <v>689234.1</v>
      </c>
      <c r="L176" s="35">
        <f>R143+R144+R146+R149-L170-L177</f>
        <v>112255</v>
      </c>
      <c r="M176" s="35">
        <f>V143-M170+V144+V146+V149-M177</f>
        <v>2589070.1</v>
      </c>
      <c r="N176" s="35">
        <f>Z143-N170+Z144+Z146+Z149-36400</f>
        <v>497235.5</v>
      </c>
      <c r="O176" s="35">
        <f>SUM(J176:N176)</f>
        <v>4407508.5</v>
      </c>
    </row>
    <row r="177" spans="1:16" x14ac:dyDescent="0.25">
      <c r="A177" s="274" t="s">
        <v>175</v>
      </c>
      <c r="B177" s="369"/>
      <c r="C177" s="369"/>
      <c r="D177" s="369"/>
      <c r="E177" s="369"/>
      <c r="F177" s="369"/>
      <c r="G177" s="369"/>
      <c r="H177" s="369"/>
      <c r="I177" s="275"/>
      <c r="J177" s="35">
        <v>245307</v>
      </c>
      <c r="K177" s="35">
        <v>30439</v>
      </c>
      <c r="L177" s="35">
        <v>35044</v>
      </c>
      <c r="M177" s="35">
        <v>122754</v>
      </c>
      <c r="N177" s="35">
        <v>36400</v>
      </c>
      <c r="O177" s="35">
        <f>SUM(J177:N177)</f>
        <v>469944</v>
      </c>
    </row>
    <row r="178" spans="1:16" x14ac:dyDescent="0.25">
      <c r="A178" s="382" t="s">
        <v>183</v>
      </c>
      <c r="B178" s="383"/>
      <c r="C178" s="383"/>
      <c r="D178" s="383"/>
      <c r="E178" s="383"/>
      <c r="F178" s="383"/>
      <c r="G178" s="383"/>
      <c r="H178" s="383"/>
      <c r="I178" s="384"/>
      <c r="J178" s="114">
        <f>J164+J168</f>
        <v>26700900</v>
      </c>
      <c r="K178" s="114">
        <f>K164+K168</f>
        <v>6234400</v>
      </c>
      <c r="L178" s="114">
        <f>L164+L168</f>
        <v>4184600</v>
      </c>
      <c r="M178" s="114">
        <f>M164+M168</f>
        <v>37104400</v>
      </c>
      <c r="N178" s="114">
        <f>N164+N168</f>
        <v>9090100</v>
      </c>
      <c r="O178" s="114">
        <f>SUM(J178:N178)</f>
        <v>83314400</v>
      </c>
      <c r="P178" s="18"/>
    </row>
    <row r="179" spans="1:16" x14ac:dyDescent="0.25">
      <c r="A179" s="274" t="s">
        <v>209</v>
      </c>
      <c r="B179" s="369"/>
      <c r="C179" s="369"/>
      <c r="D179" s="369"/>
      <c r="E179" s="369"/>
      <c r="F179" s="369"/>
      <c r="G179" s="369"/>
      <c r="H179" s="369"/>
      <c r="I179" s="275"/>
      <c r="J179" s="35">
        <f>J178/270</f>
        <v>98892.222222222219</v>
      </c>
      <c r="K179" s="35">
        <f>K178/70</f>
        <v>89062.857142857145</v>
      </c>
      <c r="L179" s="35">
        <f>L178/24</f>
        <v>174358.33333333334</v>
      </c>
      <c r="M179" s="9"/>
      <c r="N179" s="35"/>
      <c r="O179" s="7"/>
    </row>
    <row r="180" spans="1:16" x14ac:dyDescent="0.25">
      <c r="A180" s="274" t="s">
        <v>210</v>
      </c>
      <c r="B180" s="369"/>
      <c r="C180" s="369"/>
      <c r="D180" s="369"/>
      <c r="E180" s="369"/>
      <c r="F180" s="369"/>
      <c r="G180" s="369"/>
      <c r="H180" s="369"/>
      <c r="I180" s="275"/>
      <c r="J180" s="7"/>
      <c r="K180" s="7"/>
      <c r="L180" s="7"/>
      <c r="M180" s="35">
        <f>M178/74500</f>
        <v>498.04563758389264</v>
      </c>
      <c r="N180" s="7"/>
      <c r="O180" s="7"/>
      <c r="P180" s="31"/>
    </row>
    <row r="181" spans="1:16" x14ac:dyDescent="0.25">
      <c r="A181" s="274" t="s">
        <v>230</v>
      </c>
      <c r="B181" s="369"/>
      <c r="C181" s="369"/>
      <c r="D181" s="369"/>
      <c r="E181" s="369"/>
      <c r="F181" s="369"/>
      <c r="G181" s="369"/>
      <c r="H181" s="369"/>
      <c r="I181" s="275"/>
      <c r="J181" s="7"/>
      <c r="K181" s="7"/>
      <c r="L181" s="7"/>
      <c r="M181" s="7"/>
      <c r="N181" s="35">
        <f>N178/9836</f>
        <v>924.16632777551854</v>
      </c>
      <c r="O181" s="7"/>
    </row>
  </sheetData>
  <mergeCells count="177">
    <mergeCell ref="B150:D150"/>
    <mergeCell ref="B151:D151"/>
    <mergeCell ref="B152:D152"/>
    <mergeCell ref="B153:D153"/>
    <mergeCell ref="B20:D20"/>
    <mergeCell ref="R144:R145"/>
    <mergeCell ref="B145:D145"/>
    <mergeCell ref="B146:D146"/>
    <mergeCell ref="B147:D147"/>
    <mergeCell ref="B148:D148"/>
    <mergeCell ref="B149:D149"/>
    <mergeCell ref="B141:D141"/>
    <mergeCell ref="B142:D142"/>
    <mergeCell ref="B143:D143"/>
    <mergeCell ref="B144:D144"/>
    <mergeCell ref="J144:J145"/>
    <mergeCell ref="N144:N145"/>
    <mergeCell ref="G138:J138"/>
    <mergeCell ref="K138:N138"/>
    <mergeCell ref="O138:R138"/>
    <mergeCell ref="B100:D100"/>
    <mergeCell ref="B101:D101"/>
    <mergeCell ref="B102:D102"/>
    <mergeCell ref="B103:D103"/>
    <mergeCell ref="S138:V138"/>
    <mergeCell ref="W138:Z138"/>
    <mergeCell ref="B140:D140"/>
    <mergeCell ref="B106:D106"/>
    <mergeCell ref="B107:D107"/>
    <mergeCell ref="A138:A139"/>
    <mergeCell ref="B138:D139"/>
    <mergeCell ref="E138:E139"/>
    <mergeCell ref="F138:F139"/>
    <mergeCell ref="A117:I117"/>
    <mergeCell ref="A118:I118"/>
    <mergeCell ref="A119:I119"/>
    <mergeCell ref="A120:I120"/>
    <mergeCell ref="A121:I121"/>
    <mergeCell ref="A122:I122"/>
    <mergeCell ref="A123:I123"/>
    <mergeCell ref="A124:I124"/>
    <mergeCell ref="A125:I125"/>
    <mergeCell ref="A126:I126"/>
    <mergeCell ref="A127:I127"/>
    <mergeCell ref="A128:I128"/>
    <mergeCell ref="A129:I129"/>
    <mergeCell ref="K92:N92"/>
    <mergeCell ref="O92:R92"/>
    <mergeCell ref="S92:S93"/>
    <mergeCell ref="B61:D61"/>
    <mergeCell ref="B62:D62"/>
    <mergeCell ref="B63:D63"/>
    <mergeCell ref="A64:D64"/>
    <mergeCell ref="A92:A93"/>
    <mergeCell ref="B92:D93"/>
    <mergeCell ref="A67:I67"/>
    <mergeCell ref="A68:I68"/>
    <mergeCell ref="A69:I69"/>
    <mergeCell ref="A70:I70"/>
    <mergeCell ref="A71:I71"/>
    <mergeCell ref="A72:I72"/>
    <mergeCell ref="A73:I73"/>
    <mergeCell ref="A74:I74"/>
    <mergeCell ref="A75:I75"/>
    <mergeCell ref="A76:I76"/>
    <mergeCell ref="A77:I77"/>
    <mergeCell ref="A78:I78"/>
    <mergeCell ref="A79:I79"/>
    <mergeCell ref="E92:E93"/>
    <mergeCell ref="A80:I80"/>
    <mergeCell ref="B55:D55"/>
    <mergeCell ref="B56:D56"/>
    <mergeCell ref="B57:D57"/>
    <mergeCell ref="B58:D58"/>
    <mergeCell ref="B59:D59"/>
    <mergeCell ref="B60:D60"/>
    <mergeCell ref="Q53:Q54"/>
    <mergeCell ref="R53:R54"/>
    <mergeCell ref="U53:U54"/>
    <mergeCell ref="V53:V54"/>
    <mergeCell ref="Y53:Y54"/>
    <mergeCell ref="Z53:Z54"/>
    <mergeCell ref="B52:D52"/>
    <mergeCell ref="B53:D53"/>
    <mergeCell ref="I53:I54"/>
    <mergeCell ref="J53:J54"/>
    <mergeCell ref="M53:M54"/>
    <mergeCell ref="N53:N54"/>
    <mergeCell ref="B54:D54"/>
    <mergeCell ref="K49:N49"/>
    <mergeCell ref="O49:R49"/>
    <mergeCell ref="S49:V49"/>
    <mergeCell ref="W49:Z49"/>
    <mergeCell ref="AA49:AA50"/>
    <mergeCell ref="B51:D51"/>
    <mergeCell ref="A38:I39"/>
    <mergeCell ref="A40:I40"/>
    <mergeCell ref="A41:I41"/>
    <mergeCell ref="A42:I42"/>
    <mergeCell ref="A49:A50"/>
    <mergeCell ref="B49:D50"/>
    <mergeCell ref="E49:E50"/>
    <mergeCell ref="F49:F50"/>
    <mergeCell ref="G49:J49"/>
    <mergeCell ref="A31:I31"/>
    <mergeCell ref="A32:I32"/>
    <mergeCell ref="A34:I34"/>
    <mergeCell ref="A35:I35"/>
    <mergeCell ref="A36:I36"/>
    <mergeCell ref="A37:I37"/>
    <mergeCell ref="A25:I25"/>
    <mergeCell ref="A26:I26"/>
    <mergeCell ref="A27:I27"/>
    <mergeCell ref="A28:I28"/>
    <mergeCell ref="A29:I29"/>
    <mergeCell ref="A30:I30"/>
    <mergeCell ref="B15:D15"/>
    <mergeCell ref="B16:D16"/>
    <mergeCell ref="B17:D17"/>
    <mergeCell ref="B18:D18"/>
    <mergeCell ref="B19:D19"/>
    <mergeCell ref="A21:D21"/>
    <mergeCell ref="B9:D9"/>
    <mergeCell ref="B10:D10"/>
    <mergeCell ref="B11:D11"/>
    <mergeCell ref="B12:D12"/>
    <mergeCell ref="B13:D13"/>
    <mergeCell ref="B14:D14"/>
    <mergeCell ref="O5:R5"/>
    <mergeCell ref="S5:V5"/>
    <mergeCell ref="W5:Z5"/>
    <mergeCell ref="AA5:AA6"/>
    <mergeCell ref="B7:D7"/>
    <mergeCell ref="B8:D8"/>
    <mergeCell ref="A5:A6"/>
    <mergeCell ref="B5:D6"/>
    <mergeCell ref="E5:E6"/>
    <mergeCell ref="F5:F6"/>
    <mergeCell ref="G5:J5"/>
    <mergeCell ref="K5:N5"/>
    <mergeCell ref="A81:I81"/>
    <mergeCell ref="A82:I82"/>
    <mergeCell ref="A83:I83"/>
    <mergeCell ref="A112:I112"/>
    <mergeCell ref="A113:I113"/>
    <mergeCell ref="A114:I114"/>
    <mergeCell ref="A115:I115"/>
    <mergeCell ref="A116:I116"/>
    <mergeCell ref="F92:F93"/>
    <mergeCell ref="G92:J92"/>
    <mergeCell ref="B104:D104"/>
    <mergeCell ref="B105:D105"/>
    <mergeCell ref="B94:D94"/>
    <mergeCell ref="B95:D95"/>
    <mergeCell ref="B96:D96"/>
    <mergeCell ref="B97:D97"/>
    <mergeCell ref="B98:D98"/>
    <mergeCell ref="B99:D99"/>
    <mergeCell ref="A163:I163"/>
    <mergeCell ref="A164:I164"/>
    <mergeCell ref="A165:I165"/>
    <mergeCell ref="A166:I166"/>
    <mergeCell ref="A167:I167"/>
    <mergeCell ref="A168:I168"/>
    <mergeCell ref="A169:I169"/>
    <mergeCell ref="A170:I170"/>
    <mergeCell ref="A171:I171"/>
    <mergeCell ref="A181:I181"/>
    <mergeCell ref="A172:I172"/>
    <mergeCell ref="A173:I173"/>
    <mergeCell ref="A174:I174"/>
    <mergeCell ref="A175:I175"/>
    <mergeCell ref="A176:I176"/>
    <mergeCell ref="A177:I177"/>
    <mergeCell ref="A178:I178"/>
    <mergeCell ref="A179:I179"/>
    <mergeCell ref="A180:I180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22"/>
  <sheetViews>
    <sheetView topLeftCell="A4" workbookViewId="0">
      <selection activeCell="P26" sqref="P26"/>
    </sheetView>
  </sheetViews>
  <sheetFormatPr defaultRowHeight="15" x14ac:dyDescent="0.25"/>
  <cols>
    <col min="5" max="5" width="13" customWidth="1"/>
    <col min="6" max="6" width="12" customWidth="1"/>
    <col min="7" max="7" width="11.7109375" customWidth="1"/>
    <col min="8" max="8" width="12.140625" customWidth="1"/>
    <col min="9" max="9" width="11.140625" customWidth="1"/>
    <col min="10" max="10" width="10.5703125" customWidth="1"/>
    <col min="11" max="11" width="12.140625" customWidth="1"/>
    <col min="12" max="12" width="11" customWidth="1"/>
    <col min="13" max="13" width="11.28515625" customWidth="1"/>
    <col min="14" max="14" width="10.7109375" customWidth="1"/>
    <col min="15" max="15" width="11.42578125" customWidth="1"/>
  </cols>
  <sheetData>
    <row r="1" spans="1:23" x14ac:dyDescent="0.25">
      <c r="D1" s="33"/>
    </row>
    <row r="2" spans="1:23" ht="96" customHeight="1" x14ac:dyDescent="0.25">
      <c r="A2" s="281" t="s">
        <v>1</v>
      </c>
      <c r="B2" s="281"/>
      <c r="C2" s="281"/>
      <c r="D2" s="281" t="s">
        <v>2</v>
      </c>
      <c r="E2" s="281" t="s">
        <v>135</v>
      </c>
      <c r="F2" s="281" t="s">
        <v>136</v>
      </c>
      <c r="G2" s="281" t="s">
        <v>139</v>
      </c>
      <c r="H2" s="281"/>
      <c r="I2" s="281"/>
      <c r="J2" s="359" t="s">
        <v>137</v>
      </c>
      <c r="K2" s="359"/>
      <c r="L2" s="359"/>
      <c r="M2" s="359"/>
      <c r="N2" s="359"/>
      <c r="O2" s="13"/>
    </row>
    <row r="3" spans="1:23" ht="28.5" customHeight="1" x14ac:dyDescent="0.25">
      <c r="A3" s="281"/>
      <c r="B3" s="281"/>
      <c r="C3" s="281"/>
      <c r="D3" s="281"/>
      <c r="E3" s="281"/>
      <c r="F3" s="281"/>
      <c r="G3" s="47" t="s">
        <v>150</v>
      </c>
      <c r="H3" s="47" t="s">
        <v>151</v>
      </c>
      <c r="I3" s="47" t="s">
        <v>152</v>
      </c>
      <c r="J3" s="47" t="s">
        <v>153</v>
      </c>
      <c r="K3" s="47" t="s">
        <v>154</v>
      </c>
      <c r="L3" s="47" t="s">
        <v>155</v>
      </c>
      <c r="M3" s="47" t="s">
        <v>156</v>
      </c>
      <c r="N3" s="47" t="s">
        <v>157</v>
      </c>
      <c r="O3" s="13"/>
    </row>
    <row r="4" spans="1:23" x14ac:dyDescent="0.25">
      <c r="A4" s="295" t="s">
        <v>10</v>
      </c>
      <c r="B4" s="295"/>
      <c r="C4" s="295"/>
      <c r="D4" s="68" t="s">
        <v>9</v>
      </c>
      <c r="E4" s="69">
        <v>1.5</v>
      </c>
      <c r="F4" s="69">
        <v>2.2999999999999998</v>
      </c>
      <c r="G4" s="56">
        <v>2.3E-2</v>
      </c>
      <c r="H4" s="51">
        <v>2.3E-2</v>
      </c>
      <c r="I4" s="51">
        <v>2.8000000000000001E-2</v>
      </c>
      <c r="J4" s="51">
        <v>2.4E-2</v>
      </c>
      <c r="K4" s="51">
        <v>2.5999999999999999E-2</v>
      </c>
      <c r="L4" s="51">
        <v>3.2000000000000001E-2</v>
      </c>
      <c r="M4" s="103" t="s">
        <v>158</v>
      </c>
      <c r="N4" s="51">
        <v>2.4E-2</v>
      </c>
      <c r="O4" s="39"/>
    </row>
    <row r="5" spans="1:23" x14ac:dyDescent="0.25">
      <c r="A5" s="295" t="s">
        <v>138</v>
      </c>
      <c r="B5" s="295"/>
      <c r="C5" s="295"/>
      <c r="D5" s="73" t="s">
        <v>160</v>
      </c>
      <c r="E5" s="69">
        <v>300</v>
      </c>
      <c r="F5" s="69">
        <v>500</v>
      </c>
      <c r="G5" s="69">
        <v>18</v>
      </c>
      <c r="H5" s="51">
        <v>18</v>
      </c>
      <c r="I5" s="51">
        <v>18</v>
      </c>
      <c r="J5" s="51">
        <v>18</v>
      </c>
      <c r="K5" s="51">
        <v>18</v>
      </c>
      <c r="L5" s="51">
        <v>18</v>
      </c>
      <c r="M5" s="51">
        <v>18</v>
      </c>
      <c r="N5" s="51">
        <v>18</v>
      </c>
      <c r="O5" s="9"/>
    </row>
    <row r="6" spans="1:23" x14ac:dyDescent="0.25">
      <c r="A6" s="295" t="s">
        <v>21</v>
      </c>
      <c r="B6" s="295"/>
      <c r="C6" s="295"/>
      <c r="D6" s="68" t="s">
        <v>22</v>
      </c>
      <c r="E6" s="69">
        <v>2.2000000000000002</v>
      </c>
      <c r="F6" s="56" t="s">
        <v>141</v>
      </c>
      <c r="G6" s="56" t="s">
        <v>140</v>
      </c>
      <c r="H6" s="51">
        <v>12</v>
      </c>
      <c r="I6" s="51">
        <v>12</v>
      </c>
      <c r="J6" s="49" t="s">
        <v>159</v>
      </c>
      <c r="K6" s="49" t="s">
        <v>159</v>
      </c>
      <c r="L6" s="49" t="s">
        <v>159</v>
      </c>
      <c r="M6" s="49" t="s">
        <v>159</v>
      </c>
      <c r="N6" s="51">
        <v>12</v>
      </c>
      <c r="O6" s="40"/>
    </row>
    <row r="7" spans="1:23" x14ac:dyDescent="0.25">
      <c r="A7" s="295" t="s">
        <v>24</v>
      </c>
      <c r="B7" s="295"/>
      <c r="C7" s="295"/>
      <c r="D7" s="68" t="s">
        <v>22</v>
      </c>
      <c r="E7" s="69">
        <v>2.2000000000000002</v>
      </c>
      <c r="F7" s="56" t="s">
        <v>142</v>
      </c>
      <c r="G7" s="56" t="s">
        <v>140</v>
      </c>
      <c r="H7" s="51">
        <v>12</v>
      </c>
      <c r="I7" s="51">
        <v>12</v>
      </c>
      <c r="J7" s="49" t="s">
        <v>159</v>
      </c>
      <c r="K7" s="49" t="s">
        <v>159</v>
      </c>
      <c r="L7" s="49" t="s">
        <v>159</v>
      </c>
      <c r="M7" s="49" t="s">
        <v>159</v>
      </c>
      <c r="N7" s="51">
        <v>12</v>
      </c>
      <c r="O7" s="40"/>
    </row>
    <row r="8" spans="1:23" ht="15" customHeight="1" x14ac:dyDescent="0.25">
      <c r="A8" s="295" t="s">
        <v>143</v>
      </c>
      <c r="B8" s="295"/>
      <c r="C8" s="295"/>
      <c r="D8" s="68" t="s">
        <v>22</v>
      </c>
      <c r="E8" s="69">
        <v>0.25</v>
      </c>
      <c r="F8" s="69">
        <v>0.5</v>
      </c>
      <c r="G8" s="69">
        <v>0.25</v>
      </c>
      <c r="H8" s="51">
        <v>0.25</v>
      </c>
      <c r="I8" s="51">
        <v>0.25</v>
      </c>
      <c r="J8" s="51">
        <v>0.25</v>
      </c>
      <c r="K8" s="51">
        <v>0.25</v>
      </c>
      <c r="L8" s="51">
        <v>0.25</v>
      </c>
      <c r="M8" s="51">
        <v>0.17</v>
      </c>
      <c r="N8" s="51">
        <v>0.17</v>
      </c>
      <c r="O8" s="9"/>
    </row>
    <row r="9" spans="1:23" x14ac:dyDescent="0.25">
      <c r="A9" s="54" t="s">
        <v>163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P9" s="360"/>
      <c r="Q9" s="360"/>
      <c r="R9" s="360"/>
      <c r="S9" s="361"/>
      <c r="T9" s="361"/>
      <c r="U9" s="361"/>
      <c r="V9" s="361"/>
      <c r="W9" s="361"/>
    </row>
    <row r="10" spans="1:23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P10" s="13"/>
      <c r="Q10" s="13"/>
      <c r="R10" s="13"/>
      <c r="S10" s="42"/>
      <c r="T10" s="42"/>
      <c r="U10" s="42"/>
      <c r="V10" s="42"/>
      <c r="W10" s="42"/>
    </row>
    <row r="11" spans="1:23" ht="94.5" customHeight="1" x14ac:dyDescent="0.25">
      <c r="A11" s="353" t="s">
        <v>144</v>
      </c>
      <c r="B11" s="354"/>
      <c r="C11" s="355"/>
      <c r="D11" s="362" t="s">
        <v>2</v>
      </c>
      <c r="E11" s="362" t="s">
        <v>135</v>
      </c>
      <c r="F11" s="362" t="s">
        <v>136</v>
      </c>
      <c r="G11" s="281" t="s">
        <v>161</v>
      </c>
      <c r="H11" s="281"/>
      <c r="I11" s="281"/>
      <c r="J11" s="359" t="s">
        <v>162</v>
      </c>
      <c r="K11" s="359"/>
      <c r="L11" s="359"/>
      <c r="M11" s="359"/>
      <c r="N11" s="359"/>
    </row>
    <row r="12" spans="1:23" ht="33" customHeight="1" x14ac:dyDescent="0.25">
      <c r="A12" s="356"/>
      <c r="B12" s="357"/>
      <c r="C12" s="358"/>
      <c r="D12" s="363"/>
      <c r="E12" s="363"/>
      <c r="F12" s="363"/>
      <c r="G12" s="47" t="s">
        <v>150</v>
      </c>
      <c r="H12" s="47" t="s">
        <v>151</v>
      </c>
      <c r="I12" s="47" t="s">
        <v>152</v>
      </c>
      <c r="J12" s="47" t="s">
        <v>153</v>
      </c>
      <c r="K12" s="47" t="s">
        <v>154</v>
      </c>
      <c r="L12" s="47" t="s">
        <v>155</v>
      </c>
      <c r="M12" s="47" t="s">
        <v>156</v>
      </c>
      <c r="N12" s="47" t="s">
        <v>157</v>
      </c>
    </row>
    <row r="13" spans="1:23" ht="15" customHeight="1" x14ac:dyDescent="0.25">
      <c r="A13" s="287" t="s">
        <v>145</v>
      </c>
      <c r="B13" s="288"/>
      <c r="C13" s="289"/>
      <c r="D13" s="50" t="s">
        <v>73</v>
      </c>
      <c r="E13" s="51">
        <v>2600</v>
      </c>
      <c r="F13" s="51">
        <v>2600</v>
      </c>
      <c r="G13" s="49">
        <v>3000</v>
      </c>
      <c r="H13" s="51">
        <v>1000</v>
      </c>
      <c r="I13" s="51">
        <v>1000</v>
      </c>
      <c r="J13" s="51">
        <v>5980</v>
      </c>
      <c r="K13" s="51">
        <v>5980</v>
      </c>
      <c r="L13" s="51">
        <v>5980</v>
      </c>
      <c r="M13" s="51">
        <v>35000</v>
      </c>
      <c r="N13" s="51">
        <v>35000</v>
      </c>
    </row>
    <row r="14" spans="1:23" x14ac:dyDescent="0.25">
      <c r="A14" s="287" t="s">
        <v>146</v>
      </c>
      <c r="B14" s="288"/>
      <c r="C14" s="289"/>
      <c r="D14" s="50" t="s">
        <v>73</v>
      </c>
      <c r="E14" s="51">
        <v>230</v>
      </c>
      <c r="F14" s="51"/>
      <c r="G14" s="103">
        <v>1100</v>
      </c>
      <c r="H14" s="51">
        <v>260</v>
      </c>
      <c r="I14" s="51">
        <v>450</v>
      </c>
      <c r="J14" s="51">
        <v>2100</v>
      </c>
      <c r="K14" s="51">
        <v>2100</v>
      </c>
      <c r="L14" s="51">
        <v>2100</v>
      </c>
      <c r="M14" s="51">
        <v>5</v>
      </c>
      <c r="N14" s="51">
        <v>29</v>
      </c>
    </row>
    <row r="15" spans="1:23" ht="31.5" customHeight="1" x14ac:dyDescent="0.25">
      <c r="A15" s="317" t="s">
        <v>147</v>
      </c>
      <c r="B15" s="318"/>
      <c r="C15" s="319"/>
      <c r="D15" s="50" t="s">
        <v>73</v>
      </c>
      <c r="E15" s="51">
        <v>1150</v>
      </c>
      <c r="F15" s="63">
        <v>1180</v>
      </c>
      <c r="G15" s="104">
        <v>3.3</v>
      </c>
      <c r="H15" s="51">
        <v>0.48</v>
      </c>
      <c r="I15" s="51">
        <v>0.67</v>
      </c>
      <c r="J15" s="51">
        <v>300</v>
      </c>
      <c r="K15" s="51">
        <v>300</v>
      </c>
      <c r="L15" s="51">
        <v>300</v>
      </c>
      <c r="M15" s="51">
        <v>400</v>
      </c>
      <c r="N15" s="51">
        <v>80</v>
      </c>
    </row>
    <row r="16" spans="1:23" x14ac:dyDescent="0.25">
      <c r="A16" s="287" t="s">
        <v>148</v>
      </c>
      <c r="B16" s="288"/>
      <c r="C16" s="289"/>
      <c r="D16" s="50" t="s">
        <v>73</v>
      </c>
      <c r="E16" s="51">
        <v>2300</v>
      </c>
      <c r="F16" s="49">
        <v>3480</v>
      </c>
      <c r="G16" s="105">
        <v>4.9000000000000004</v>
      </c>
      <c r="H16" s="51">
        <v>0.73</v>
      </c>
      <c r="I16" s="51">
        <v>1.9</v>
      </c>
      <c r="J16" s="51">
        <v>250</v>
      </c>
      <c r="K16" s="51">
        <v>250</v>
      </c>
      <c r="L16" s="51">
        <v>200</v>
      </c>
      <c r="M16" s="51">
        <v>400</v>
      </c>
      <c r="N16" s="51">
        <v>255</v>
      </c>
    </row>
    <row r="17" spans="1:14" x14ac:dyDescent="0.25">
      <c r="A17" s="287" t="s">
        <v>111</v>
      </c>
      <c r="B17" s="288"/>
      <c r="C17" s="289"/>
      <c r="D17" s="50" t="s">
        <v>73</v>
      </c>
      <c r="E17" s="51"/>
      <c r="F17" s="51"/>
      <c r="G17" s="51">
        <v>2.37</v>
      </c>
      <c r="H17" s="51">
        <v>0.31</v>
      </c>
      <c r="I17" s="51">
        <v>0.32</v>
      </c>
      <c r="J17" s="51">
        <v>495</v>
      </c>
      <c r="K17" s="51">
        <v>1250</v>
      </c>
      <c r="L17" s="51">
        <v>3333</v>
      </c>
      <c r="M17" s="51">
        <v>9.2200000000000006</v>
      </c>
      <c r="N17" s="51">
        <v>37.5</v>
      </c>
    </row>
    <row r="18" spans="1:14" x14ac:dyDescent="0.25">
      <c r="A18" s="287" t="s">
        <v>84</v>
      </c>
      <c r="B18" s="288"/>
      <c r="C18" s="289"/>
      <c r="D18" s="50" t="s">
        <v>73</v>
      </c>
      <c r="E18" s="51">
        <v>2100</v>
      </c>
      <c r="F18" s="51">
        <v>2500</v>
      </c>
      <c r="G18" s="51">
        <v>7.28</v>
      </c>
      <c r="H18" s="51">
        <v>1.1299999999999999</v>
      </c>
      <c r="I18" s="51">
        <v>1.67</v>
      </c>
      <c r="J18" s="51">
        <v>400</v>
      </c>
      <c r="K18" s="51">
        <v>150</v>
      </c>
      <c r="L18" s="51">
        <v>150</v>
      </c>
      <c r="M18" s="51">
        <v>700</v>
      </c>
      <c r="N18" s="51">
        <v>250</v>
      </c>
    </row>
    <row r="19" spans="1:14" x14ac:dyDescent="0.25">
      <c r="A19" s="287" t="s">
        <v>86</v>
      </c>
      <c r="B19" s="288"/>
      <c r="C19" s="289"/>
      <c r="D19" s="50" t="s">
        <v>73</v>
      </c>
      <c r="E19" s="51">
        <v>120</v>
      </c>
      <c r="F19" s="51">
        <v>1000</v>
      </c>
      <c r="G19" s="51">
        <v>9.1</v>
      </c>
      <c r="H19" s="51">
        <v>1.08</v>
      </c>
      <c r="I19" s="51">
        <v>0.33</v>
      </c>
      <c r="J19" s="51">
        <v>1190</v>
      </c>
      <c r="K19" s="51">
        <v>1190</v>
      </c>
      <c r="L19" s="51">
        <v>1190</v>
      </c>
      <c r="M19" s="51">
        <v>9.52</v>
      </c>
      <c r="N19" s="51">
        <v>17</v>
      </c>
    </row>
    <row r="20" spans="1:14" x14ac:dyDescent="0.25">
      <c r="A20" s="287" t="s">
        <v>88</v>
      </c>
      <c r="B20" s="288"/>
      <c r="C20" s="289"/>
      <c r="D20" s="50" t="s">
        <v>73</v>
      </c>
      <c r="E20" s="51">
        <v>1800</v>
      </c>
      <c r="F20" s="51">
        <v>2500</v>
      </c>
      <c r="G20" s="51">
        <v>7.28</v>
      </c>
      <c r="H20" s="51">
        <v>0.98</v>
      </c>
      <c r="I20" s="51">
        <v>1.58</v>
      </c>
      <c r="J20" s="51">
        <v>700</v>
      </c>
      <c r="K20" s="51">
        <v>200</v>
      </c>
      <c r="L20" s="51">
        <v>200</v>
      </c>
      <c r="M20" s="51">
        <v>8.0299999999999994</v>
      </c>
      <c r="N20" s="51">
        <v>43</v>
      </c>
    </row>
    <row r="21" spans="1:14" x14ac:dyDescent="0.25">
      <c r="A21" s="320" t="s">
        <v>149</v>
      </c>
      <c r="B21" s="320"/>
      <c r="C21" s="320"/>
      <c r="D21" s="50" t="s">
        <v>73</v>
      </c>
      <c r="E21" s="51">
        <v>100</v>
      </c>
      <c r="F21" s="51">
        <v>100</v>
      </c>
      <c r="G21" s="51">
        <v>2.71</v>
      </c>
      <c r="H21" s="51">
        <v>1.35</v>
      </c>
      <c r="I21" s="51">
        <v>3.35</v>
      </c>
      <c r="J21" s="51">
        <v>1150</v>
      </c>
      <c r="K21" s="51">
        <v>1150</v>
      </c>
      <c r="L21" s="51">
        <v>1150</v>
      </c>
      <c r="M21" s="51">
        <v>1.8</v>
      </c>
      <c r="N21" s="51">
        <v>25</v>
      </c>
    </row>
    <row r="22" spans="1:14" ht="15.75" customHeight="1" x14ac:dyDescent="0.25">
      <c r="A22" s="106"/>
      <c r="B22" s="106"/>
      <c r="C22" s="106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</row>
  </sheetData>
  <mergeCells count="28">
    <mergeCell ref="A19:C19"/>
    <mergeCell ref="A20:C20"/>
    <mergeCell ref="A21:C21"/>
    <mergeCell ref="A13:C13"/>
    <mergeCell ref="A14:C14"/>
    <mergeCell ref="A15:C15"/>
    <mergeCell ref="A16:C16"/>
    <mergeCell ref="A17:C17"/>
    <mergeCell ref="A18:C18"/>
    <mergeCell ref="S9:W9"/>
    <mergeCell ref="A11:C12"/>
    <mergeCell ref="D11:D12"/>
    <mergeCell ref="E11:E12"/>
    <mergeCell ref="F11:F12"/>
    <mergeCell ref="G11:I11"/>
    <mergeCell ref="J11:N11"/>
    <mergeCell ref="P9:R9"/>
    <mergeCell ref="A4:C4"/>
    <mergeCell ref="A5:C5"/>
    <mergeCell ref="A6:C6"/>
    <mergeCell ref="A7:C7"/>
    <mergeCell ref="A8:C8"/>
    <mergeCell ref="J2:N2"/>
    <mergeCell ref="A2:C3"/>
    <mergeCell ref="D2:D3"/>
    <mergeCell ref="E2:E3"/>
    <mergeCell ref="F2:F3"/>
    <mergeCell ref="G2:I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ком.усл.дс,школы</vt:lpstr>
      <vt:lpstr>ком.усл.доп.обр.</vt:lpstr>
      <vt:lpstr>ком.усл.культура</vt:lpstr>
      <vt:lpstr>Лист1</vt:lpstr>
      <vt:lpstr>Лист2</vt:lpstr>
      <vt:lpstr>Размер норм.затрат 2017</vt:lpstr>
      <vt:lpstr>Лист4</vt:lpstr>
      <vt:lpstr>2018</vt:lpstr>
      <vt:lpstr>2018 культ.</vt:lpstr>
      <vt:lpstr>1пол.2018</vt:lpstr>
      <vt:lpstr>1пол.2018 (2)</vt:lpstr>
      <vt:lpstr>2018 декабрь</vt:lpstr>
      <vt:lpstr>2019</vt:lpstr>
      <vt:lpstr>школы 2023бюджет</vt:lpstr>
      <vt:lpstr>Дс 2023 Бюджет</vt:lpstr>
      <vt:lpstr>культура 2023бюджет</vt:lpstr>
      <vt:lpstr>доп.обр.2023бюджет</vt:lpstr>
      <vt:lpstr>СШ 2023-2025 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Zam_Gl_Buh1</dc:creator>
  <cp:lastModifiedBy>Татьяна П. Мельникова</cp:lastModifiedBy>
  <cp:lastPrinted>2022-12-27T01:43:16Z</cp:lastPrinted>
  <dcterms:created xsi:type="dcterms:W3CDTF">2016-11-18T04:11:35Z</dcterms:created>
  <dcterms:modified xsi:type="dcterms:W3CDTF">2023-03-21T02:18:56Z</dcterms:modified>
</cp:coreProperties>
</file>