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ОргОтдел\ПОСТАНОВЛЕНИЯ\Постановления 2023\Постановление администрации 471\"/>
    </mc:Choice>
  </mc:AlternateContent>
  <bookViews>
    <workbookView xWindow="-120" yWindow="-120" windowWidth="38640" windowHeight="21240" activeTab="4"/>
  </bookViews>
  <sheets>
    <sheet name="Приложение 1" sheetId="7" r:id="rId1"/>
    <sheet name="Приложение 1-1" sheetId="2" state="hidden" r:id="rId2"/>
    <sheet name="Приложение 2-2" sheetId="9" r:id="rId3"/>
    <sheet name="Приложение 2-1" sheetId="5" state="hidden" r:id="rId4"/>
    <sheet name="Приложение 3-2" sheetId="8" r:id="rId5"/>
  </sheets>
  <definedNames>
    <definedName name="_xlnm.Print_Titles" localSheetId="3">'Приложение 2-1'!$8:$10</definedName>
    <definedName name="_xlnm.Print_Titles" localSheetId="4">'Приложение 3-2'!$6:$8</definedName>
    <definedName name="_xlnm.Print_Area" localSheetId="0">'Приложение 1'!$A$1:$R$16</definedName>
    <definedName name="_xlnm.Print_Area" localSheetId="1">'Приложение 1-1'!$A$1:$G$97</definedName>
    <definedName name="_xlnm.Print_Area" localSheetId="3">'Приложение 2-1'!$A$1:$N$267</definedName>
    <definedName name="_xlnm.Print_Area" localSheetId="2">'Приложение 2-2'!$A$1:$G$109</definedName>
    <definedName name="_xlnm.Print_Area" localSheetId="4">'Приложение 3-2'!$A$1:$J$312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73" i="8" l="1"/>
  <c r="F179" i="8"/>
  <c r="G223" i="8"/>
  <c r="I177" i="8"/>
  <c r="I175" i="8" s="1"/>
  <c r="J177" i="8"/>
  <c r="J175" i="8" s="1"/>
  <c r="I178" i="8"/>
  <c r="J178" i="8"/>
  <c r="I181" i="8"/>
  <c r="J181" i="8"/>
  <c r="I184" i="8"/>
  <c r="J184" i="8"/>
  <c r="I187" i="8"/>
  <c r="J187" i="8"/>
  <c r="I192" i="8"/>
  <c r="I190" i="8" s="1"/>
  <c r="J192" i="8"/>
  <c r="J190" i="8" s="1"/>
  <c r="I193" i="8"/>
  <c r="J193" i="8"/>
  <c r="I196" i="8"/>
  <c r="J196" i="8"/>
  <c r="I199" i="8"/>
  <c r="J199" i="8"/>
  <c r="I202" i="8"/>
  <c r="J202" i="8"/>
  <c r="I207" i="8"/>
  <c r="I205" i="8" s="1"/>
  <c r="J207" i="8"/>
  <c r="J205" i="8" s="1"/>
  <c r="I208" i="8"/>
  <c r="J208" i="8"/>
  <c r="I211" i="8"/>
  <c r="J211" i="8"/>
  <c r="I214" i="8"/>
  <c r="J214" i="8"/>
  <c r="I217" i="8"/>
  <c r="J217" i="8"/>
  <c r="I222" i="8"/>
  <c r="J222" i="8"/>
  <c r="I223" i="8"/>
  <c r="J223" i="8"/>
  <c r="I224" i="8"/>
  <c r="J224" i="8"/>
  <c r="I227" i="8"/>
  <c r="J227" i="8"/>
  <c r="I230" i="8"/>
  <c r="J230" i="8"/>
  <c r="I233" i="8"/>
  <c r="J233" i="8"/>
  <c r="I239" i="8"/>
  <c r="J239" i="8"/>
  <c r="I240" i="8"/>
  <c r="J240" i="8"/>
  <c r="I243" i="8"/>
  <c r="J243" i="8"/>
  <c r="I246" i="8"/>
  <c r="J246" i="8"/>
  <c r="I249" i="8"/>
  <c r="J249" i="8"/>
  <c r="I254" i="8"/>
  <c r="I252" i="8" s="1"/>
  <c r="J254" i="8"/>
  <c r="J252" i="8" s="1"/>
  <c r="I255" i="8"/>
  <c r="J255" i="8"/>
  <c r="I258" i="8"/>
  <c r="J258" i="8"/>
  <c r="I261" i="8"/>
  <c r="J261" i="8"/>
  <c r="I264" i="8"/>
  <c r="J264" i="8"/>
  <c r="I49" i="8"/>
  <c r="J49" i="8"/>
  <c r="I304" i="8"/>
  <c r="J304" i="8"/>
  <c r="I303" i="8"/>
  <c r="J303" i="8"/>
  <c r="I299" i="8"/>
  <c r="J299" i="8"/>
  <c r="E297" i="8"/>
  <c r="I296" i="8"/>
  <c r="J296" i="8"/>
  <c r="E295" i="8"/>
  <c r="E294" i="8"/>
  <c r="I293" i="8"/>
  <c r="J293" i="8"/>
  <c r="I290" i="8"/>
  <c r="J290" i="8"/>
  <c r="E285" i="8"/>
  <c r="I284" i="8"/>
  <c r="J284" i="8"/>
  <c r="E280" i="8"/>
  <c r="I279" i="8"/>
  <c r="J279" i="8"/>
  <c r="I277" i="8"/>
  <c r="J277" i="8"/>
  <c r="J275" i="8" s="1"/>
  <c r="I276" i="8"/>
  <c r="I275" i="8" s="1"/>
  <c r="J276" i="8"/>
  <c r="E273" i="8"/>
  <c r="I272" i="8"/>
  <c r="J272" i="8"/>
  <c r="I270" i="8"/>
  <c r="J270" i="8"/>
  <c r="I268" i="8"/>
  <c r="J268" i="8"/>
  <c r="E257" i="8"/>
  <c r="E251" i="8"/>
  <c r="E242" i="8"/>
  <c r="E241" i="8"/>
  <c r="E240" i="8" s="1"/>
  <c r="E236" i="8"/>
  <c r="E235" i="8"/>
  <c r="E219" i="8"/>
  <c r="E218" i="8"/>
  <c r="E216" i="8"/>
  <c r="E215" i="8"/>
  <c r="E214" i="8" s="1"/>
  <c r="E213" i="8"/>
  <c r="E212" i="8"/>
  <c r="E210" i="8"/>
  <c r="F209" i="8"/>
  <c r="E209" i="8" s="1"/>
  <c r="E204" i="8"/>
  <c r="E202" i="8"/>
  <c r="E201" i="8"/>
  <c r="E200" i="8"/>
  <c r="E198" i="8"/>
  <c r="E197" i="8"/>
  <c r="E195" i="8"/>
  <c r="E194" i="8"/>
  <c r="E189" i="8"/>
  <c r="E188" i="8"/>
  <c r="E186" i="8"/>
  <c r="E185" i="8"/>
  <c r="E184" i="8" s="1"/>
  <c r="E183" i="8"/>
  <c r="E182" i="8"/>
  <c r="E180" i="8"/>
  <c r="E174" i="8"/>
  <c r="E173" i="8"/>
  <c r="I172" i="8"/>
  <c r="J172" i="8"/>
  <c r="F256" i="8"/>
  <c r="E256" i="8" s="1"/>
  <c r="E179" i="8"/>
  <c r="E178" i="8" s="1"/>
  <c r="E167" i="8"/>
  <c r="E166" i="8"/>
  <c r="I165" i="8"/>
  <c r="J165" i="8"/>
  <c r="E164" i="8"/>
  <c r="E163" i="8"/>
  <c r="I162" i="8"/>
  <c r="J162" i="8"/>
  <c r="E161" i="8"/>
  <c r="E160" i="8"/>
  <c r="I159" i="8"/>
  <c r="J159" i="8"/>
  <c r="E158" i="8"/>
  <c r="E157" i="8"/>
  <c r="I156" i="8"/>
  <c r="J156" i="8"/>
  <c r="G153" i="8"/>
  <c r="H153" i="8"/>
  <c r="I153" i="8"/>
  <c r="J153" i="8"/>
  <c r="E155" i="8"/>
  <c r="E154" i="8"/>
  <c r="E152" i="8"/>
  <c r="E151" i="8"/>
  <c r="I150" i="8"/>
  <c r="J150" i="8"/>
  <c r="E149" i="8"/>
  <c r="E145" i="8"/>
  <c r="I144" i="8"/>
  <c r="J144" i="8"/>
  <c r="J148" i="8"/>
  <c r="J147" i="8" s="1"/>
  <c r="I148" i="8"/>
  <c r="I147" i="8" s="1"/>
  <c r="I142" i="8"/>
  <c r="J142" i="8"/>
  <c r="J141" i="8"/>
  <c r="I141" i="8"/>
  <c r="G137" i="8"/>
  <c r="H137" i="8"/>
  <c r="I137" i="8"/>
  <c r="J137" i="8"/>
  <c r="E138" i="8"/>
  <c r="E135" i="8"/>
  <c r="I134" i="8"/>
  <c r="J134" i="8"/>
  <c r="E132" i="8"/>
  <c r="I131" i="8"/>
  <c r="J131" i="8"/>
  <c r="E129" i="8"/>
  <c r="I128" i="8"/>
  <c r="J128" i="8"/>
  <c r="E126" i="8"/>
  <c r="I125" i="8"/>
  <c r="J125" i="8"/>
  <c r="I123" i="8"/>
  <c r="J123" i="8"/>
  <c r="I121" i="8"/>
  <c r="J121" i="8"/>
  <c r="E118" i="8"/>
  <c r="I117" i="8"/>
  <c r="J117" i="8"/>
  <c r="I113" i="8"/>
  <c r="J113" i="8"/>
  <c r="I106" i="8"/>
  <c r="J106" i="8"/>
  <c r="I103" i="8"/>
  <c r="J103" i="8"/>
  <c r="I100" i="8"/>
  <c r="J100" i="8"/>
  <c r="I97" i="8"/>
  <c r="J97" i="8"/>
  <c r="E95" i="8"/>
  <c r="I94" i="8"/>
  <c r="J94" i="8"/>
  <c r="E93" i="8"/>
  <c r="E92" i="8"/>
  <c r="I91" i="8"/>
  <c r="J91" i="8"/>
  <c r="I88" i="8"/>
  <c r="J88" i="8"/>
  <c r="E86" i="8"/>
  <c r="I85" i="8"/>
  <c r="J85" i="8"/>
  <c r="J84" i="8"/>
  <c r="I84" i="8" s="1"/>
  <c r="E83" i="8"/>
  <c r="I81" i="8"/>
  <c r="J81" i="8"/>
  <c r="E79" i="8"/>
  <c r="E80" i="8"/>
  <c r="J78" i="8"/>
  <c r="J77" i="8" s="1"/>
  <c r="I78" i="8"/>
  <c r="I122" i="8" s="1"/>
  <c r="I10" i="8"/>
  <c r="J10" i="8"/>
  <c r="E65" i="8"/>
  <c r="I64" i="8"/>
  <c r="J64" i="8"/>
  <c r="E63" i="8"/>
  <c r="E59" i="8"/>
  <c r="I58" i="8"/>
  <c r="J58" i="8"/>
  <c r="E56" i="8"/>
  <c r="J55" i="8"/>
  <c r="I55" i="8"/>
  <c r="E54" i="8"/>
  <c r="E50" i="8"/>
  <c r="E47" i="8"/>
  <c r="I46" i="8"/>
  <c r="J46" i="8"/>
  <c r="E44" i="8"/>
  <c r="I43" i="8"/>
  <c r="J43" i="8"/>
  <c r="E42" i="8"/>
  <c r="E41" i="8"/>
  <c r="I40" i="8"/>
  <c r="J40" i="8"/>
  <c r="E38" i="8"/>
  <c r="I37" i="8"/>
  <c r="J37" i="8"/>
  <c r="E36" i="8"/>
  <c r="E35" i="8"/>
  <c r="I34" i="8"/>
  <c r="J34" i="8"/>
  <c r="E32" i="8"/>
  <c r="I31" i="8"/>
  <c r="J31" i="8"/>
  <c r="I28" i="8"/>
  <c r="J28" i="8"/>
  <c r="E30" i="8"/>
  <c r="E29" i="8"/>
  <c r="E26" i="8"/>
  <c r="I25" i="8"/>
  <c r="J25" i="8"/>
  <c r="E24" i="8"/>
  <c r="E23" i="8"/>
  <c r="E22" i="8" s="1"/>
  <c r="I22" i="8"/>
  <c r="J22" i="8"/>
  <c r="E20" i="8"/>
  <c r="E19" i="8"/>
  <c r="I18" i="8"/>
  <c r="J18" i="8"/>
  <c r="E16" i="8"/>
  <c r="E17" i="8"/>
  <c r="E15" i="8"/>
  <c r="E14" i="8"/>
  <c r="E12" i="8"/>
  <c r="I13" i="8"/>
  <c r="J13" i="8"/>
  <c r="J62" i="8"/>
  <c r="J61" i="8" s="1"/>
  <c r="I62" i="8"/>
  <c r="I61" i="8" s="1"/>
  <c r="F250" i="8"/>
  <c r="E250" i="8" s="1"/>
  <c r="E249" i="8" s="1"/>
  <c r="F222" i="8"/>
  <c r="F223" i="8"/>
  <c r="F270" i="8" s="1"/>
  <c r="H222" i="8"/>
  <c r="G222" i="8"/>
  <c r="G270" i="8"/>
  <c r="H270" i="8"/>
  <c r="F234" i="8"/>
  <c r="F233" i="8" s="1"/>
  <c r="G233" i="8"/>
  <c r="H233" i="8"/>
  <c r="G11" i="8"/>
  <c r="F78" i="8"/>
  <c r="G122" i="8"/>
  <c r="H122" i="8"/>
  <c r="E34" i="8" l="1"/>
  <c r="E78" i="8"/>
  <c r="I220" i="8"/>
  <c r="E187" i="8"/>
  <c r="I269" i="8"/>
  <c r="E181" i="8"/>
  <c r="J169" i="8"/>
  <c r="J168" i="8" s="1"/>
  <c r="E91" i="8"/>
  <c r="J306" i="8"/>
  <c r="E193" i="8"/>
  <c r="J140" i="8"/>
  <c r="J269" i="8"/>
  <c r="J267" i="8" s="1"/>
  <c r="E28" i="8"/>
  <c r="I140" i="8"/>
  <c r="E217" i="8"/>
  <c r="I306" i="8"/>
  <c r="J302" i="8"/>
  <c r="J220" i="8"/>
  <c r="E234" i="8"/>
  <c r="E233" i="8" s="1"/>
  <c r="E222" i="8"/>
  <c r="E255" i="8"/>
  <c r="E196" i="8"/>
  <c r="I267" i="8"/>
  <c r="J237" i="8"/>
  <c r="I237" i="8"/>
  <c r="E270" i="8"/>
  <c r="E199" i="8"/>
  <c r="E211" i="8"/>
  <c r="E172" i="8"/>
  <c r="I308" i="8"/>
  <c r="I169" i="8"/>
  <c r="I168" i="8" s="1"/>
  <c r="I302" i="8"/>
  <c r="E18" i="8"/>
  <c r="J122" i="8"/>
  <c r="J120" i="8" s="1"/>
  <c r="J308" i="8"/>
  <c r="E40" i="8"/>
  <c r="I77" i="8"/>
  <c r="I120" i="8"/>
  <c r="G123" i="8"/>
  <c r="H123" i="8"/>
  <c r="F123" i="8"/>
  <c r="G121" i="8"/>
  <c r="G306" i="8" s="1"/>
  <c r="H121" i="8"/>
  <c r="H306" i="8" s="1"/>
  <c r="F121" i="8"/>
  <c r="F89" i="8"/>
  <c r="E89" i="8" s="1"/>
  <c r="F306" i="8" l="1"/>
  <c r="E306" i="8" s="1"/>
  <c r="E121" i="8"/>
  <c r="F82" i="8"/>
  <c r="F122" i="8" l="1"/>
  <c r="E122" i="8" s="1"/>
  <c r="E82" i="8"/>
  <c r="E81" i="8" s="1"/>
  <c r="F77" i="8"/>
  <c r="G77" i="8"/>
  <c r="H77" i="8"/>
  <c r="F11" i="8"/>
  <c r="E11" i="8" s="1"/>
  <c r="E10" i="8" s="1"/>
  <c r="F97" i="8" l="1"/>
  <c r="G97" i="8"/>
  <c r="H97" i="8"/>
  <c r="E98" i="8"/>
  <c r="E99" i="8"/>
  <c r="G73" i="5"/>
  <c r="H73" i="5"/>
  <c r="J73" i="5"/>
  <c r="E97" i="8" l="1"/>
  <c r="H268" i="8"/>
  <c r="M161" i="5"/>
  <c r="M164" i="5"/>
  <c r="M152" i="5"/>
  <c r="M151" i="5" s="1"/>
  <c r="H172" i="8" l="1"/>
  <c r="G172" i="8"/>
  <c r="F172" i="8"/>
  <c r="F279" i="8"/>
  <c r="G279" i="8"/>
  <c r="H279" i="8"/>
  <c r="F299" i="8"/>
  <c r="G299" i="8"/>
  <c r="H299" i="8"/>
  <c r="E301" i="8"/>
  <c r="E300" i="8"/>
  <c r="F296" i="8"/>
  <c r="G296" i="8"/>
  <c r="H296" i="8"/>
  <c r="E298" i="8"/>
  <c r="E296" i="8" s="1"/>
  <c r="F293" i="8"/>
  <c r="G293" i="8"/>
  <c r="H293" i="8"/>
  <c r="F290" i="8"/>
  <c r="G290" i="8"/>
  <c r="H290" i="8"/>
  <c r="E292" i="8"/>
  <c r="E291" i="8"/>
  <c r="E289" i="8"/>
  <c r="F284" i="8"/>
  <c r="G284" i="8"/>
  <c r="H284" i="8"/>
  <c r="E287" i="8"/>
  <c r="E288" i="8"/>
  <c r="E286" i="8"/>
  <c r="E283" i="8"/>
  <c r="E282" i="8"/>
  <c r="E281" i="8"/>
  <c r="E274" i="8"/>
  <c r="E277" i="8" s="1"/>
  <c r="F221" i="8"/>
  <c r="G221" i="8"/>
  <c r="E266" i="8"/>
  <c r="H264" i="8"/>
  <c r="G264" i="8"/>
  <c r="E263" i="8"/>
  <c r="E262" i="8"/>
  <c r="H261" i="8"/>
  <c r="G261" i="8"/>
  <c r="F261" i="8"/>
  <c r="E260" i="8"/>
  <c r="E259" i="8"/>
  <c r="H258" i="8"/>
  <c r="G258" i="8"/>
  <c r="F258" i="8"/>
  <c r="H255" i="8"/>
  <c r="G255" i="8"/>
  <c r="F255" i="8"/>
  <c r="H254" i="8"/>
  <c r="H252" i="8" s="1"/>
  <c r="G254" i="8"/>
  <c r="F254" i="8"/>
  <c r="G253" i="8"/>
  <c r="H249" i="8"/>
  <c r="G249" i="8"/>
  <c r="G246" i="8" s="1"/>
  <c r="E248" i="8"/>
  <c r="H246" i="8"/>
  <c r="E245" i="8"/>
  <c r="H243" i="8"/>
  <c r="F243" i="8"/>
  <c r="H240" i="8"/>
  <c r="F240" i="8"/>
  <c r="H239" i="8"/>
  <c r="H237" i="8" s="1"/>
  <c r="G239" i="8"/>
  <c r="F239" i="8"/>
  <c r="E232" i="8"/>
  <c r="H230" i="8"/>
  <c r="E229" i="8"/>
  <c r="H227" i="8"/>
  <c r="F227" i="8"/>
  <c r="E226" i="8"/>
  <c r="H224" i="8"/>
  <c r="F224" i="8"/>
  <c r="H223" i="8"/>
  <c r="H220" i="8" s="1"/>
  <c r="H217" i="8"/>
  <c r="H214" i="8"/>
  <c r="H211" i="8"/>
  <c r="H208" i="8"/>
  <c r="H207" i="8"/>
  <c r="H205" i="8" s="1"/>
  <c r="G207" i="8"/>
  <c r="F207" i="8"/>
  <c r="H202" i="8"/>
  <c r="H199" i="8" s="1"/>
  <c r="H196" i="8" s="1"/>
  <c r="H192" i="8"/>
  <c r="G192" i="8"/>
  <c r="F192" i="8"/>
  <c r="F177" i="8"/>
  <c r="G177" i="8"/>
  <c r="H177" i="8"/>
  <c r="F170" i="8"/>
  <c r="G170" i="8"/>
  <c r="H170" i="8"/>
  <c r="E223" i="8" l="1"/>
  <c r="E239" i="8"/>
  <c r="E254" i="8"/>
  <c r="E192" i="8"/>
  <c r="E207" i="8"/>
  <c r="F220" i="8"/>
  <c r="E221" i="8"/>
  <c r="E220" i="8" s="1"/>
  <c r="E177" i="8"/>
  <c r="G269" i="8"/>
  <c r="H269" i="8"/>
  <c r="H267" i="8" s="1"/>
  <c r="F269" i="8"/>
  <c r="G220" i="8"/>
  <c r="E299" i="8"/>
  <c r="E272" i="8"/>
  <c r="E284" i="8"/>
  <c r="E279" i="8"/>
  <c r="E293" i="8"/>
  <c r="E290" i="8"/>
  <c r="G252" i="8"/>
  <c r="E258" i="8"/>
  <c r="E261" i="8"/>
  <c r="E244" i="8"/>
  <c r="G243" i="8"/>
  <c r="E243" i="8" s="1"/>
  <c r="H193" i="8"/>
  <c r="H190" i="8"/>
  <c r="H187" i="8" s="1"/>
  <c r="H184" i="8" s="1"/>
  <c r="E159" i="8"/>
  <c r="E162" i="8"/>
  <c r="E153" i="8"/>
  <c r="E156" i="8"/>
  <c r="H147" i="8"/>
  <c r="F144" i="8"/>
  <c r="G144" i="8"/>
  <c r="H144" i="8"/>
  <c r="E146" i="8"/>
  <c r="F58" i="8"/>
  <c r="G58" i="8"/>
  <c r="H58" i="8"/>
  <c r="E21" i="8"/>
  <c r="E240" i="5"/>
  <c r="E241" i="5"/>
  <c r="E242" i="5"/>
  <c r="E245" i="5"/>
  <c r="E246" i="5"/>
  <c r="E247" i="5"/>
  <c r="E248" i="5"/>
  <c r="E250" i="5"/>
  <c r="E253" i="5"/>
  <c r="E254" i="5"/>
  <c r="E256" i="5"/>
  <c r="E257" i="5"/>
  <c r="E260" i="5"/>
  <c r="E233" i="5"/>
  <c r="E172" i="5"/>
  <c r="E174" i="5"/>
  <c r="E175" i="5"/>
  <c r="E178" i="5"/>
  <c r="E180" i="5"/>
  <c r="E181" i="5"/>
  <c r="E183" i="5"/>
  <c r="E184" i="5"/>
  <c r="E186" i="5"/>
  <c r="E187" i="5"/>
  <c r="E189" i="5"/>
  <c r="E190" i="5"/>
  <c r="E192" i="5"/>
  <c r="E193" i="5"/>
  <c r="E195" i="5"/>
  <c r="E196" i="5"/>
  <c r="E198" i="5"/>
  <c r="E199" i="5"/>
  <c r="E201" i="5"/>
  <c r="E202" i="5"/>
  <c r="E204" i="5"/>
  <c r="E205" i="5"/>
  <c r="E208" i="5"/>
  <c r="E210" i="5"/>
  <c r="E211" i="5"/>
  <c r="E213" i="5"/>
  <c r="E214" i="5"/>
  <c r="E216" i="5"/>
  <c r="E217" i="5"/>
  <c r="E220" i="5"/>
  <c r="E222" i="5"/>
  <c r="E223" i="5"/>
  <c r="E225" i="5"/>
  <c r="E226" i="5"/>
  <c r="E153" i="5"/>
  <c r="E155" i="5"/>
  <c r="E156" i="5"/>
  <c r="E159" i="5"/>
  <c r="E162" i="5"/>
  <c r="E165" i="5"/>
  <c r="E144" i="5"/>
  <c r="E147" i="5"/>
  <c r="E150" i="5"/>
  <c r="E23" i="5"/>
  <c r="D23" i="5" s="1"/>
  <c r="E19" i="5"/>
  <c r="D19" i="5" s="1"/>
  <c r="E18" i="5"/>
  <c r="D18" i="5" s="1"/>
  <c r="H304" i="8"/>
  <c r="G304" i="8"/>
  <c r="F304" i="8"/>
  <c r="H303" i="8"/>
  <c r="G303" i="8"/>
  <c r="F303" i="8"/>
  <c r="H277" i="8"/>
  <c r="F277" i="8"/>
  <c r="H276" i="8"/>
  <c r="F276" i="8"/>
  <c r="G275" i="8"/>
  <c r="H272" i="8"/>
  <c r="F272" i="8"/>
  <c r="F249" i="8" s="1"/>
  <c r="G217" i="8"/>
  <c r="F217" i="8"/>
  <c r="G202" i="8"/>
  <c r="H169" i="8"/>
  <c r="H165" i="8"/>
  <c r="G165" i="8"/>
  <c r="F165" i="8"/>
  <c r="H162" i="8"/>
  <c r="G162" i="8"/>
  <c r="F162" i="8"/>
  <c r="H159" i="8"/>
  <c r="G159" i="8"/>
  <c r="F159" i="8"/>
  <c r="H156" i="8"/>
  <c r="G156" i="8"/>
  <c r="F156" i="8"/>
  <c r="F153" i="8"/>
  <c r="H150" i="8"/>
  <c r="G150" i="8"/>
  <c r="F150" i="8"/>
  <c r="G148" i="8"/>
  <c r="G147" i="8" s="1"/>
  <c r="F148" i="8"/>
  <c r="H142" i="8"/>
  <c r="H140" i="8" s="1"/>
  <c r="G142" i="8"/>
  <c r="F142" i="8"/>
  <c r="G141" i="8"/>
  <c r="F141" i="8"/>
  <c r="E139" i="8"/>
  <c r="E137" i="8" s="1"/>
  <c r="F137" i="8"/>
  <c r="E136" i="8"/>
  <c r="E134" i="8" s="1"/>
  <c r="H134" i="8"/>
  <c r="G134" i="8"/>
  <c r="F134" i="8"/>
  <c r="E133" i="8"/>
  <c r="E131" i="8" s="1"/>
  <c r="H131" i="8"/>
  <c r="G131" i="8"/>
  <c r="F131" i="8"/>
  <c r="E130" i="8"/>
  <c r="E128" i="8" s="1"/>
  <c r="H128" i="8"/>
  <c r="G128" i="8"/>
  <c r="F128" i="8"/>
  <c r="E127" i="8"/>
  <c r="E125" i="8" s="1"/>
  <c r="H125" i="8"/>
  <c r="G125" i="8"/>
  <c r="F125" i="8"/>
  <c r="E119" i="8"/>
  <c r="E117" i="8" s="1"/>
  <c r="H117" i="8"/>
  <c r="G117" i="8"/>
  <c r="F117" i="8"/>
  <c r="E116" i="8"/>
  <c r="E115" i="8"/>
  <c r="E114" i="8"/>
  <c r="H113" i="8"/>
  <c r="G113" i="8"/>
  <c r="F113" i="8"/>
  <c r="E111" i="8"/>
  <c r="E110" i="8"/>
  <c r="G109" i="8"/>
  <c r="F109" i="8"/>
  <c r="E108" i="8"/>
  <c r="E107" i="8"/>
  <c r="H106" i="8"/>
  <c r="G106" i="8"/>
  <c r="F106" i="8"/>
  <c r="E105" i="8"/>
  <c r="E104" i="8"/>
  <c r="H103" i="8"/>
  <c r="G103" i="8"/>
  <c r="F103" i="8"/>
  <c r="E102" i="8"/>
  <c r="E101" i="8"/>
  <c r="H100" i="8"/>
  <c r="G100" i="8"/>
  <c r="E96" i="8"/>
  <c r="E94" i="8" s="1"/>
  <c r="H94" i="8"/>
  <c r="G94" i="8"/>
  <c r="F94" i="8"/>
  <c r="H91" i="8"/>
  <c r="G91" i="8"/>
  <c r="F91" i="8"/>
  <c r="E90" i="8"/>
  <c r="E88" i="8" s="1"/>
  <c r="H88" i="8"/>
  <c r="G88" i="8"/>
  <c r="F88" i="8"/>
  <c r="E87" i="8"/>
  <c r="E85" i="8" s="1"/>
  <c r="H85" i="8"/>
  <c r="G85" i="8"/>
  <c r="F85" i="8"/>
  <c r="H84" i="8"/>
  <c r="G84" i="8" s="1"/>
  <c r="F84" i="8" s="1"/>
  <c r="E84" i="8" s="1"/>
  <c r="H81" i="8"/>
  <c r="G81" i="8"/>
  <c r="F81" i="8"/>
  <c r="E77" i="8"/>
  <c r="E75" i="8"/>
  <c r="E71" i="8"/>
  <c r="E70" i="8" s="1"/>
  <c r="H70" i="8"/>
  <c r="G70" i="8"/>
  <c r="F70" i="8"/>
  <c r="E69" i="8"/>
  <c r="E68" i="8"/>
  <c r="H67" i="8"/>
  <c r="G67" i="8"/>
  <c r="F67" i="8"/>
  <c r="E66" i="8"/>
  <c r="H64" i="8"/>
  <c r="G64" i="8"/>
  <c r="F64" i="8"/>
  <c r="G62" i="8"/>
  <c r="G74" i="8" s="1"/>
  <c r="G73" i="8" s="1"/>
  <c r="F62" i="8"/>
  <c r="H61" i="8"/>
  <c r="E60" i="8"/>
  <c r="E58" i="8" s="1"/>
  <c r="E57" i="8"/>
  <c r="E55" i="8" s="1"/>
  <c r="H55" i="8"/>
  <c r="G55" i="8"/>
  <c r="F55" i="8"/>
  <c r="H53" i="8"/>
  <c r="G52" i="8"/>
  <c r="F52" i="8"/>
  <c r="E51" i="8"/>
  <c r="E49" i="8" s="1"/>
  <c r="H49" i="8"/>
  <c r="G49" i="8"/>
  <c r="F49" i="8"/>
  <c r="E48" i="8"/>
  <c r="E46" i="8" s="1"/>
  <c r="H46" i="8"/>
  <c r="G46" i="8"/>
  <c r="F46" i="8"/>
  <c r="E45" i="8"/>
  <c r="E43" i="8" s="1"/>
  <c r="H43" i="8"/>
  <c r="G43" i="8"/>
  <c r="F43" i="8"/>
  <c r="H40" i="8"/>
  <c r="G40" i="8"/>
  <c r="F40" i="8"/>
  <c r="E39" i="8"/>
  <c r="E37" i="8" s="1"/>
  <c r="H37" i="8"/>
  <c r="G37" i="8"/>
  <c r="F37" i="8"/>
  <c r="H34" i="8"/>
  <c r="G34" i="8"/>
  <c r="F34" i="8"/>
  <c r="E33" i="8"/>
  <c r="E31" i="8" s="1"/>
  <c r="H31" i="8"/>
  <c r="G31" i="8"/>
  <c r="F31" i="8"/>
  <c r="H28" i="8"/>
  <c r="G28" i="8"/>
  <c r="F28" i="8"/>
  <c r="E27" i="8"/>
  <c r="E25" i="8" s="1"/>
  <c r="H25" i="8"/>
  <c r="G25" i="8"/>
  <c r="F25" i="8"/>
  <c r="H22" i="8"/>
  <c r="G22" i="8"/>
  <c r="F22" i="8"/>
  <c r="H18" i="8"/>
  <c r="G18" i="8"/>
  <c r="F18" i="8"/>
  <c r="H13" i="8"/>
  <c r="G13" i="8"/>
  <c r="F13" i="8"/>
  <c r="H10" i="8"/>
  <c r="G10" i="8"/>
  <c r="F10" i="8"/>
  <c r="E142" i="8" l="1"/>
  <c r="E269" i="8"/>
  <c r="E303" i="8"/>
  <c r="F147" i="8"/>
  <c r="E148" i="8"/>
  <c r="E147" i="8" s="1"/>
  <c r="E141" i="8"/>
  <c r="E276" i="8"/>
  <c r="E275" i="8" s="1"/>
  <c r="E304" i="8"/>
  <c r="I53" i="8"/>
  <c r="F61" i="8"/>
  <c r="E62" i="8"/>
  <c r="E61" i="8" s="1"/>
  <c r="E13" i="8"/>
  <c r="F308" i="8"/>
  <c r="G308" i="8"/>
  <c r="H308" i="8"/>
  <c r="G230" i="8"/>
  <c r="G240" i="8"/>
  <c r="G238" i="8"/>
  <c r="G237" i="8" s="1"/>
  <c r="F246" i="8"/>
  <c r="E246" i="8" s="1"/>
  <c r="E247" i="8"/>
  <c r="F238" i="8"/>
  <c r="F214" i="8"/>
  <c r="G199" i="8"/>
  <c r="G196" i="8" s="1"/>
  <c r="G191" i="8" s="1"/>
  <c r="G190" i="8" s="1"/>
  <c r="G187" i="8" s="1"/>
  <c r="G184" i="8" s="1"/>
  <c r="F230" i="8"/>
  <c r="G214" i="8"/>
  <c r="G211" i="8" s="1"/>
  <c r="G193" i="8"/>
  <c r="E203" i="8"/>
  <c r="F202" i="8"/>
  <c r="H181" i="8"/>
  <c r="E150" i="8"/>
  <c r="E144" i="8"/>
  <c r="F74" i="8"/>
  <c r="H302" i="8"/>
  <c r="E170" i="8"/>
  <c r="F140" i="8"/>
  <c r="E106" i="8"/>
  <c r="G302" i="8"/>
  <c r="G61" i="8"/>
  <c r="E123" i="8"/>
  <c r="E120" i="8" s="1"/>
  <c r="E64" i="8"/>
  <c r="E103" i="8"/>
  <c r="E67" i="8"/>
  <c r="D84" i="8"/>
  <c r="G120" i="8"/>
  <c r="G140" i="8"/>
  <c r="F302" i="8"/>
  <c r="F275" i="8"/>
  <c r="H120" i="8"/>
  <c r="H168" i="8"/>
  <c r="H275" i="8"/>
  <c r="E113" i="8"/>
  <c r="F120" i="8"/>
  <c r="F169" i="8"/>
  <c r="G169" i="8"/>
  <c r="G168" i="8" s="1"/>
  <c r="H74" i="8"/>
  <c r="H73" i="8" s="1"/>
  <c r="H52" i="8"/>
  <c r="E109" i="8"/>
  <c r="E112" i="8"/>
  <c r="F100" i="8"/>
  <c r="E100" i="8" s="1"/>
  <c r="E165" i="8"/>
  <c r="E308" i="8" l="1"/>
  <c r="F168" i="8"/>
  <c r="E169" i="8"/>
  <c r="E168" i="8" s="1"/>
  <c r="E238" i="8"/>
  <c r="E237" i="8" s="1"/>
  <c r="F73" i="8"/>
  <c r="I52" i="8"/>
  <c r="J53" i="8"/>
  <c r="E53" i="8" s="1"/>
  <c r="E52" i="8" s="1"/>
  <c r="I74" i="8"/>
  <c r="H307" i="8"/>
  <c r="E302" i="8"/>
  <c r="E231" i="8"/>
  <c r="E230" i="8"/>
  <c r="F253" i="8"/>
  <c r="E253" i="8" s="1"/>
  <c r="E252" i="8" s="1"/>
  <c r="F264" i="8"/>
  <c r="E264" i="8" s="1"/>
  <c r="E265" i="8"/>
  <c r="F237" i="8"/>
  <c r="E228" i="8"/>
  <c r="G227" i="8"/>
  <c r="G206" i="8"/>
  <c r="G205" i="8" s="1"/>
  <c r="G208" i="8"/>
  <c r="G181" i="8"/>
  <c r="H175" i="8"/>
  <c r="H178" i="8"/>
  <c r="E140" i="8"/>
  <c r="I73" i="8" l="1"/>
  <c r="I307" i="8"/>
  <c r="I305" i="8" s="1"/>
  <c r="J74" i="8"/>
  <c r="J52" i="8"/>
  <c r="H305" i="8"/>
  <c r="F252" i="8"/>
  <c r="E227" i="8"/>
  <c r="F211" i="8"/>
  <c r="F199" i="8"/>
  <c r="G176" i="8"/>
  <c r="G268" i="8" s="1"/>
  <c r="G178" i="8"/>
  <c r="J73" i="8" l="1"/>
  <c r="J307" i="8"/>
  <c r="J305" i="8" s="1"/>
  <c r="E74" i="8"/>
  <c r="E73" i="8" s="1"/>
  <c r="G307" i="8"/>
  <c r="G267" i="8"/>
  <c r="G175" i="8"/>
  <c r="E225" i="8"/>
  <c r="G224" i="8"/>
  <c r="E224" i="8" s="1"/>
  <c r="M232" i="5"/>
  <c r="M231" i="5" s="1"/>
  <c r="M49" i="5"/>
  <c r="M64" i="5"/>
  <c r="M13" i="5"/>
  <c r="M244" i="5"/>
  <c r="E244" i="5" s="1"/>
  <c r="M259" i="5"/>
  <c r="E259" i="5" s="1"/>
  <c r="M239" i="5"/>
  <c r="E239" i="5" s="1"/>
  <c r="M130" i="5"/>
  <c r="M127" i="5"/>
  <c r="M58" i="5"/>
  <c r="M55" i="5"/>
  <c r="M46" i="5"/>
  <c r="M43" i="5"/>
  <c r="M37" i="5"/>
  <c r="M34" i="5"/>
  <c r="M31" i="5"/>
  <c r="M219" i="5"/>
  <c r="E219" i="5" s="1"/>
  <c r="M177" i="5"/>
  <c r="E177" i="5" s="1"/>
  <c r="F208" i="8" l="1"/>
  <c r="F206" i="8"/>
  <c r="E206" i="8" s="1"/>
  <c r="E205" i="8" s="1"/>
  <c r="E208" i="8"/>
  <c r="F196" i="8"/>
  <c r="M235" i="5"/>
  <c r="M234" i="5" s="1"/>
  <c r="M207" i="5"/>
  <c r="M171" i="5"/>
  <c r="G305" i="8" l="1"/>
  <c r="F205" i="8"/>
  <c r="E108" i="5"/>
  <c r="F193" i="8" l="1"/>
  <c r="F191" i="8"/>
  <c r="E191" i="8" s="1"/>
  <c r="E190" i="8" s="1"/>
  <c r="M146" i="5"/>
  <c r="E146" i="5" s="1"/>
  <c r="M116" i="5"/>
  <c r="M40" i="5"/>
  <c r="M73" i="5" s="1"/>
  <c r="L251" i="5"/>
  <c r="E251" i="5" s="1"/>
  <c r="L232" i="5"/>
  <c r="L164" i="5"/>
  <c r="L161" i="5"/>
  <c r="L110" i="5"/>
  <c r="L107" i="5" s="1"/>
  <c r="L152" i="5"/>
  <c r="E152" i="5" s="1"/>
  <c r="L149" i="5"/>
  <c r="E149" i="5" s="1"/>
  <c r="L87" i="5"/>
  <c r="M107" i="5"/>
  <c r="L235" i="5" l="1"/>
  <c r="E232" i="5"/>
  <c r="F190" i="8"/>
  <c r="L231" i="5"/>
  <c r="L13" i="5"/>
  <c r="L16" i="5"/>
  <c r="L37" i="5" l="1"/>
  <c r="F187" i="8" l="1"/>
  <c r="L21" i="5"/>
  <c r="L171" i="5"/>
  <c r="E171" i="5" s="1"/>
  <c r="M221" i="5"/>
  <c r="L221" i="5"/>
  <c r="K221" i="5"/>
  <c r="J221" i="5"/>
  <c r="I221" i="5"/>
  <c r="H221" i="5"/>
  <c r="G221" i="5"/>
  <c r="F221" i="5"/>
  <c r="L40" i="5"/>
  <c r="L49" i="5"/>
  <c r="L207" i="5"/>
  <c r="F185" i="5"/>
  <c r="G185" i="5"/>
  <c r="H185" i="5"/>
  <c r="I185" i="5"/>
  <c r="J185" i="5"/>
  <c r="K185" i="5"/>
  <c r="L185" i="5"/>
  <c r="M185" i="5"/>
  <c r="E221" i="5" l="1"/>
  <c r="E185" i="5"/>
  <c r="L228" i="5"/>
  <c r="M200" i="5"/>
  <c r="F228" i="5"/>
  <c r="F184" i="8" l="1"/>
  <c r="G229" i="5"/>
  <c r="H229" i="5"/>
  <c r="I229" i="5"/>
  <c r="J229" i="5"/>
  <c r="K229" i="5"/>
  <c r="L229" i="5"/>
  <c r="M229" i="5"/>
  <c r="F229" i="5"/>
  <c r="G228" i="5"/>
  <c r="H228" i="5"/>
  <c r="I228" i="5"/>
  <c r="J228" i="5"/>
  <c r="M228" i="5"/>
  <c r="M224" i="5"/>
  <c r="L224" i="5"/>
  <c r="K224" i="5"/>
  <c r="J224" i="5"/>
  <c r="I224" i="5"/>
  <c r="H224" i="5"/>
  <c r="G224" i="5"/>
  <c r="F224" i="5"/>
  <c r="M218" i="5"/>
  <c r="L218" i="5"/>
  <c r="K218" i="5"/>
  <c r="J218" i="5"/>
  <c r="I218" i="5"/>
  <c r="H218" i="5"/>
  <c r="G218" i="5"/>
  <c r="F218" i="5"/>
  <c r="F231" i="5"/>
  <c r="G231" i="5"/>
  <c r="H231" i="5"/>
  <c r="I231" i="5"/>
  <c r="J231" i="5"/>
  <c r="K231" i="5"/>
  <c r="E231" i="5" l="1"/>
  <c r="E229" i="5"/>
  <c r="E224" i="5"/>
  <c r="E218" i="5"/>
  <c r="I227" i="5"/>
  <c r="M227" i="5"/>
  <c r="L227" i="5"/>
  <c r="G227" i="5"/>
  <c r="J227" i="5"/>
  <c r="F227" i="5"/>
  <c r="F181" i="8" l="1"/>
  <c r="L64" i="5"/>
  <c r="L73" i="5" s="1"/>
  <c r="K164" i="5"/>
  <c r="E164" i="5" s="1"/>
  <c r="K116" i="5"/>
  <c r="K40" i="5"/>
  <c r="G54" i="5"/>
  <c r="H54" i="5"/>
  <c r="I54" i="5"/>
  <c r="J54" i="5"/>
  <c r="K54" i="5"/>
  <c r="L54" i="5"/>
  <c r="M54" i="5"/>
  <c r="F54" i="5"/>
  <c r="F178" i="8" l="1"/>
  <c r="F176" i="8"/>
  <c r="K69" i="5"/>
  <c r="F268" i="8" l="1"/>
  <c r="E176" i="8"/>
  <c r="E175" i="8" s="1"/>
  <c r="F175" i="8"/>
  <c r="K158" i="5"/>
  <c r="K143" i="5"/>
  <c r="G123" i="5"/>
  <c r="H123" i="5"/>
  <c r="I123" i="5"/>
  <c r="J123" i="5"/>
  <c r="L123" i="5"/>
  <c r="K124" i="5"/>
  <c r="K123" i="5" s="1"/>
  <c r="G126" i="5"/>
  <c r="H126" i="5"/>
  <c r="I126" i="5"/>
  <c r="J126" i="5"/>
  <c r="L126" i="5"/>
  <c r="K127" i="5"/>
  <c r="K126" i="5" s="1"/>
  <c r="K61" i="5"/>
  <c r="K52" i="5"/>
  <c r="K46" i="5"/>
  <c r="K43" i="5"/>
  <c r="F267" i="8" l="1"/>
  <c r="E268" i="8"/>
  <c r="E267" i="8" s="1"/>
  <c r="K142" i="5"/>
  <c r="E143" i="5"/>
  <c r="K157" i="5"/>
  <c r="E158" i="5"/>
  <c r="F307" i="8"/>
  <c r="E307" i="8" s="1"/>
  <c r="M82" i="5"/>
  <c r="L82" i="5" s="1"/>
  <c r="K82" i="5" s="1"/>
  <c r="J82" i="5" s="1"/>
  <c r="I82" i="5" s="1"/>
  <c r="H82" i="5" s="1"/>
  <c r="G82" i="5" s="1"/>
  <c r="F82" i="5" s="1"/>
  <c r="E82" i="5" s="1"/>
  <c r="D82" i="5" s="1"/>
  <c r="F305" i="8" l="1"/>
  <c r="E305" i="8" s="1"/>
  <c r="F69" i="5"/>
  <c r="G69" i="5"/>
  <c r="H69" i="5"/>
  <c r="I69" i="5"/>
  <c r="J69" i="5"/>
  <c r="L69" i="5"/>
  <c r="M69" i="5"/>
  <c r="F215" i="5" l="1"/>
  <c r="G215" i="5"/>
  <c r="H215" i="5"/>
  <c r="I215" i="5"/>
  <c r="J215" i="5"/>
  <c r="K215" i="5"/>
  <c r="L215" i="5"/>
  <c r="M215" i="5"/>
  <c r="K207" i="5"/>
  <c r="E207" i="5" s="1"/>
  <c r="J116" i="5"/>
  <c r="J115" i="5" s="1"/>
  <c r="K249" i="5"/>
  <c r="E71" i="5"/>
  <c r="E70" i="5"/>
  <c r="K13" i="5"/>
  <c r="K73" i="5" s="1"/>
  <c r="E215" i="5" l="1"/>
  <c r="K228" i="5"/>
  <c r="E69" i="5"/>
  <c r="J258" i="5"/>
  <c r="M197" i="5"/>
  <c r="M176" i="5"/>
  <c r="F163" i="5"/>
  <c r="G163" i="5"/>
  <c r="H163" i="5"/>
  <c r="I163" i="5"/>
  <c r="J163" i="5"/>
  <c r="K163" i="5"/>
  <c r="L163" i="5"/>
  <c r="M163" i="5"/>
  <c r="L160" i="5"/>
  <c r="M160" i="5"/>
  <c r="K115" i="5"/>
  <c r="L115" i="5"/>
  <c r="M115" i="5"/>
  <c r="L63" i="5"/>
  <c r="M63" i="5"/>
  <c r="K39" i="5"/>
  <c r="L39" i="5"/>
  <c r="J39" i="5"/>
  <c r="E163" i="5" l="1"/>
  <c r="K227" i="5"/>
  <c r="E228" i="5"/>
  <c r="L139" i="5"/>
  <c r="G191" i="5"/>
  <c r="H191" i="5"/>
  <c r="I191" i="5"/>
  <c r="J191" i="5"/>
  <c r="K191" i="5"/>
  <c r="L191" i="5"/>
  <c r="M191" i="5"/>
  <c r="F191" i="5"/>
  <c r="E191" i="5" s="1"/>
  <c r="M209" i="5" l="1"/>
  <c r="L209" i="5"/>
  <c r="K209" i="5"/>
  <c r="J209" i="5"/>
  <c r="I209" i="5"/>
  <c r="H209" i="5"/>
  <c r="G209" i="5"/>
  <c r="F209" i="5"/>
  <c r="M206" i="5"/>
  <c r="L206" i="5"/>
  <c r="K206" i="5"/>
  <c r="J206" i="5"/>
  <c r="I206" i="5"/>
  <c r="H206" i="5"/>
  <c r="G206" i="5"/>
  <c r="F206" i="5"/>
  <c r="M203" i="5"/>
  <c r="L203" i="5"/>
  <c r="K203" i="5"/>
  <c r="J203" i="5"/>
  <c r="I203" i="5"/>
  <c r="H203" i="5"/>
  <c r="G203" i="5"/>
  <c r="F203" i="5"/>
  <c r="K262" i="5"/>
  <c r="J262" i="5"/>
  <c r="K173" i="5"/>
  <c r="L173" i="5"/>
  <c r="J173" i="5"/>
  <c r="J119" i="5"/>
  <c r="J120" i="5"/>
  <c r="K120" i="5"/>
  <c r="K63" i="5"/>
  <c r="J63" i="5"/>
  <c r="I161" i="5"/>
  <c r="I160" i="5" s="1"/>
  <c r="E203" i="5" l="1"/>
  <c r="E206" i="5"/>
  <c r="E209" i="5"/>
  <c r="H227" i="5"/>
  <c r="E227" i="5" s="1"/>
  <c r="J72" i="5"/>
  <c r="F20" i="5"/>
  <c r="G20" i="5"/>
  <c r="H20" i="5"/>
  <c r="I20" i="5"/>
  <c r="J20" i="5"/>
  <c r="K20" i="5"/>
  <c r="L20" i="5"/>
  <c r="E22" i="5"/>
  <c r="M20" i="5" l="1"/>
  <c r="I116" i="5"/>
  <c r="I115" i="5" s="1"/>
  <c r="I40" i="5"/>
  <c r="I73" i="5" s="1"/>
  <c r="E20" i="5" l="1"/>
  <c r="E21" i="5"/>
  <c r="G263" i="5"/>
  <c r="H263" i="5"/>
  <c r="I263" i="5"/>
  <c r="J263" i="5"/>
  <c r="K263" i="5"/>
  <c r="F263" i="5"/>
  <c r="G262" i="5"/>
  <c r="H262" i="5"/>
  <c r="I262" i="5"/>
  <c r="F262" i="5"/>
  <c r="K238" i="5"/>
  <c r="J238" i="5"/>
  <c r="I238" i="5"/>
  <c r="H238" i="5"/>
  <c r="G238" i="5"/>
  <c r="F238" i="5"/>
  <c r="M258" i="5"/>
  <c r="L258" i="5"/>
  <c r="K258" i="5"/>
  <c r="I258" i="5"/>
  <c r="H258" i="5"/>
  <c r="G258" i="5"/>
  <c r="F258" i="5"/>
  <c r="K255" i="5"/>
  <c r="J255" i="5"/>
  <c r="I255" i="5"/>
  <c r="H255" i="5"/>
  <c r="G255" i="5"/>
  <c r="F255" i="5"/>
  <c r="K252" i="5"/>
  <c r="J252" i="5"/>
  <c r="H252" i="5"/>
  <c r="G252" i="5"/>
  <c r="F252" i="5"/>
  <c r="G249" i="5"/>
  <c r="H249" i="5"/>
  <c r="I249" i="5"/>
  <c r="J249" i="5"/>
  <c r="F249" i="5"/>
  <c r="G243" i="5"/>
  <c r="H243" i="5"/>
  <c r="I243" i="5"/>
  <c r="J243" i="5"/>
  <c r="K243" i="5"/>
  <c r="F243" i="5"/>
  <c r="G236" i="5"/>
  <c r="H236" i="5"/>
  <c r="I236" i="5"/>
  <c r="J236" i="5"/>
  <c r="K236" i="5"/>
  <c r="F236" i="5"/>
  <c r="G235" i="5"/>
  <c r="H235" i="5"/>
  <c r="I235" i="5"/>
  <c r="J235" i="5"/>
  <c r="K235" i="5"/>
  <c r="F235" i="5"/>
  <c r="G170" i="5"/>
  <c r="H170" i="5"/>
  <c r="I170" i="5"/>
  <c r="J170" i="5"/>
  <c r="L170" i="5"/>
  <c r="M170" i="5"/>
  <c r="F170" i="5"/>
  <c r="G173" i="5"/>
  <c r="H173" i="5"/>
  <c r="I173" i="5"/>
  <c r="M173" i="5"/>
  <c r="F173" i="5"/>
  <c r="G176" i="5"/>
  <c r="H176" i="5"/>
  <c r="I176" i="5"/>
  <c r="J176" i="5"/>
  <c r="L176" i="5"/>
  <c r="F176" i="5"/>
  <c r="G179" i="5"/>
  <c r="H179" i="5"/>
  <c r="I179" i="5"/>
  <c r="J179" i="5"/>
  <c r="M179" i="5"/>
  <c r="F179" i="5"/>
  <c r="G182" i="5"/>
  <c r="I182" i="5"/>
  <c r="J182" i="5"/>
  <c r="M182" i="5"/>
  <c r="F182" i="5"/>
  <c r="G188" i="5"/>
  <c r="H188" i="5"/>
  <c r="I188" i="5"/>
  <c r="J188" i="5"/>
  <c r="L188" i="5"/>
  <c r="M188" i="5"/>
  <c r="F188" i="5"/>
  <c r="G194" i="5"/>
  <c r="H194" i="5"/>
  <c r="I194" i="5"/>
  <c r="J194" i="5"/>
  <c r="L194" i="5"/>
  <c r="M194" i="5"/>
  <c r="F194" i="5"/>
  <c r="H212" i="5"/>
  <c r="I212" i="5"/>
  <c r="J212" i="5"/>
  <c r="K212" i="5"/>
  <c r="L212" i="5"/>
  <c r="M212" i="5"/>
  <c r="G212" i="5"/>
  <c r="F212" i="5"/>
  <c r="G200" i="5"/>
  <c r="H200" i="5"/>
  <c r="I200" i="5"/>
  <c r="J200" i="5"/>
  <c r="K200" i="5"/>
  <c r="F200" i="5"/>
  <c r="G197" i="5"/>
  <c r="H197" i="5"/>
  <c r="I197" i="5"/>
  <c r="J197" i="5"/>
  <c r="K197" i="5"/>
  <c r="L197" i="5"/>
  <c r="F197" i="5"/>
  <c r="G168" i="5"/>
  <c r="H168" i="5"/>
  <c r="I168" i="5"/>
  <c r="J168" i="5"/>
  <c r="K168" i="5"/>
  <c r="L168" i="5"/>
  <c r="M168" i="5"/>
  <c r="F168" i="5"/>
  <c r="G167" i="5"/>
  <c r="I167" i="5"/>
  <c r="J167" i="5"/>
  <c r="K167" i="5"/>
  <c r="F167" i="5"/>
  <c r="G160" i="5"/>
  <c r="J160" i="5"/>
  <c r="F160" i="5"/>
  <c r="G157" i="5"/>
  <c r="H157" i="5"/>
  <c r="I157" i="5"/>
  <c r="J157" i="5"/>
  <c r="F157" i="5"/>
  <c r="G154" i="5"/>
  <c r="H154" i="5"/>
  <c r="I154" i="5"/>
  <c r="J154" i="5"/>
  <c r="K154" i="5"/>
  <c r="F154" i="5"/>
  <c r="G151" i="5"/>
  <c r="H151" i="5"/>
  <c r="I151" i="5"/>
  <c r="J151" i="5"/>
  <c r="K151" i="5"/>
  <c r="F151" i="5"/>
  <c r="G148" i="5"/>
  <c r="H148" i="5"/>
  <c r="I148" i="5"/>
  <c r="J148" i="5"/>
  <c r="K148" i="5"/>
  <c r="F148" i="5"/>
  <c r="G145" i="5"/>
  <c r="H145" i="5"/>
  <c r="I145" i="5"/>
  <c r="J145" i="5"/>
  <c r="K145" i="5"/>
  <c r="F145" i="5"/>
  <c r="G142" i="5"/>
  <c r="H142" i="5"/>
  <c r="I142" i="5"/>
  <c r="J142" i="5"/>
  <c r="L142" i="5"/>
  <c r="M142" i="5"/>
  <c r="F142" i="5"/>
  <c r="H161" i="5"/>
  <c r="L157" i="5"/>
  <c r="L154" i="5"/>
  <c r="L151" i="5"/>
  <c r="L148" i="5"/>
  <c r="L145" i="5"/>
  <c r="G140" i="5"/>
  <c r="H140" i="5"/>
  <c r="I140" i="5"/>
  <c r="J140" i="5"/>
  <c r="K140" i="5"/>
  <c r="L140" i="5"/>
  <c r="M140" i="5"/>
  <c r="F140" i="5"/>
  <c r="G139" i="5"/>
  <c r="H139" i="5"/>
  <c r="I139" i="5"/>
  <c r="J139" i="5"/>
  <c r="K139" i="5"/>
  <c r="F139" i="5"/>
  <c r="F123" i="5"/>
  <c r="F126" i="5"/>
  <c r="G129" i="5"/>
  <c r="H129" i="5"/>
  <c r="I129" i="5"/>
  <c r="J129" i="5"/>
  <c r="K129" i="5"/>
  <c r="F129" i="5"/>
  <c r="G132" i="5"/>
  <c r="H132" i="5"/>
  <c r="I132" i="5"/>
  <c r="J132" i="5"/>
  <c r="K132" i="5"/>
  <c r="F132" i="5"/>
  <c r="G135" i="5"/>
  <c r="H135" i="5"/>
  <c r="I135" i="5"/>
  <c r="J135" i="5"/>
  <c r="K135" i="5"/>
  <c r="L135" i="5"/>
  <c r="M135" i="5"/>
  <c r="F135" i="5"/>
  <c r="L129" i="5"/>
  <c r="E137" i="5"/>
  <c r="E136" i="5"/>
  <c r="E134" i="5"/>
  <c r="E131" i="5"/>
  <c r="E128" i="5"/>
  <c r="E125" i="5"/>
  <c r="G121" i="5"/>
  <c r="H121" i="5"/>
  <c r="I121" i="5"/>
  <c r="J121" i="5"/>
  <c r="K121" i="5"/>
  <c r="L121" i="5"/>
  <c r="M121" i="5"/>
  <c r="F121" i="5"/>
  <c r="H120" i="5"/>
  <c r="I120" i="5"/>
  <c r="F120" i="5"/>
  <c r="H119" i="5"/>
  <c r="I119" i="5"/>
  <c r="J265" i="5"/>
  <c r="K119" i="5"/>
  <c r="L119" i="5"/>
  <c r="M119" i="5"/>
  <c r="F119" i="5"/>
  <c r="G79" i="5"/>
  <c r="H79" i="5"/>
  <c r="I79" i="5"/>
  <c r="J79" i="5"/>
  <c r="K79" i="5"/>
  <c r="F79" i="5"/>
  <c r="H83" i="5"/>
  <c r="I83" i="5"/>
  <c r="J83" i="5"/>
  <c r="K83" i="5"/>
  <c r="F83" i="5"/>
  <c r="G86" i="5"/>
  <c r="H86" i="5"/>
  <c r="I86" i="5"/>
  <c r="J86" i="5"/>
  <c r="K86" i="5"/>
  <c r="F86" i="5"/>
  <c r="G89" i="5"/>
  <c r="H89" i="5"/>
  <c r="I89" i="5"/>
  <c r="J89" i="5"/>
  <c r="K89" i="5"/>
  <c r="F89" i="5"/>
  <c r="G92" i="5"/>
  <c r="H92" i="5"/>
  <c r="I92" i="5"/>
  <c r="F92" i="5"/>
  <c r="G95" i="5"/>
  <c r="H95" i="5"/>
  <c r="I95" i="5"/>
  <c r="J95" i="5"/>
  <c r="K95" i="5"/>
  <c r="L95" i="5"/>
  <c r="F95" i="5"/>
  <c r="G98" i="5"/>
  <c r="H98" i="5"/>
  <c r="I98" i="5"/>
  <c r="J98" i="5"/>
  <c r="K98" i="5"/>
  <c r="L98" i="5"/>
  <c r="M98" i="5"/>
  <c r="F98" i="5"/>
  <c r="G101" i="5"/>
  <c r="H101" i="5"/>
  <c r="I101" i="5"/>
  <c r="J101" i="5"/>
  <c r="K101" i="5"/>
  <c r="L101" i="5"/>
  <c r="M101" i="5"/>
  <c r="F101" i="5"/>
  <c r="G104" i="5"/>
  <c r="H104" i="5"/>
  <c r="I104" i="5"/>
  <c r="J104" i="5"/>
  <c r="K104" i="5"/>
  <c r="L104" i="5"/>
  <c r="M104" i="5"/>
  <c r="F104" i="5"/>
  <c r="G107" i="5"/>
  <c r="H107" i="5"/>
  <c r="I107" i="5"/>
  <c r="J107" i="5"/>
  <c r="K107" i="5"/>
  <c r="F107" i="5"/>
  <c r="H111" i="5"/>
  <c r="I111" i="5"/>
  <c r="J111" i="5"/>
  <c r="K111" i="5"/>
  <c r="L111" i="5"/>
  <c r="M111" i="5"/>
  <c r="F111" i="5"/>
  <c r="G115" i="5"/>
  <c r="H115" i="5"/>
  <c r="F115" i="5"/>
  <c r="G112" i="5"/>
  <c r="G111" i="5" s="1"/>
  <c r="E106" i="5"/>
  <c r="M96" i="5"/>
  <c r="L89" i="5"/>
  <c r="L86" i="5"/>
  <c r="M83" i="5"/>
  <c r="G84" i="5"/>
  <c r="G83" i="5" s="1"/>
  <c r="L79" i="5"/>
  <c r="E117" i="5"/>
  <c r="E114" i="5"/>
  <c r="E113" i="5"/>
  <c r="E110" i="5"/>
  <c r="E109" i="5"/>
  <c r="E105" i="5"/>
  <c r="E103" i="5"/>
  <c r="E100" i="5"/>
  <c r="E97" i="5"/>
  <c r="E94" i="5"/>
  <c r="E91" i="5"/>
  <c r="E88" i="5"/>
  <c r="E85" i="5"/>
  <c r="G76" i="5"/>
  <c r="H76" i="5"/>
  <c r="I76" i="5"/>
  <c r="J76" i="5"/>
  <c r="K76" i="5"/>
  <c r="F76" i="5"/>
  <c r="L76" i="5"/>
  <c r="E78" i="5"/>
  <c r="E74" i="5"/>
  <c r="G66" i="5"/>
  <c r="H66" i="5"/>
  <c r="I66" i="5"/>
  <c r="J66" i="5"/>
  <c r="K66" i="5"/>
  <c r="L66" i="5"/>
  <c r="M66" i="5"/>
  <c r="F66" i="5"/>
  <c r="G63" i="5"/>
  <c r="H63" i="5"/>
  <c r="I63" i="5"/>
  <c r="F63" i="5"/>
  <c r="G60" i="5"/>
  <c r="H60" i="5"/>
  <c r="I60" i="5"/>
  <c r="J60" i="5"/>
  <c r="L60" i="5"/>
  <c r="M60" i="5"/>
  <c r="G57" i="5"/>
  <c r="H57" i="5"/>
  <c r="I57" i="5"/>
  <c r="J57" i="5"/>
  <c r="K57" i="5"/>
  <c r="L57" i="5"/>
  <c r="M57" i="5"/>
  <c r="F57" i="5"/>
  <c r="G51" i="5"/>
  <c r="H51" i="5"/>
  <c r="I51" i="5"/>
  <c r="J51" i="5"/>
  <c r="K51" i="5"/>
  <c r="L51" i="5"/>
  <c r="M51" i="5"/>
  <c r="G48" i="5"/>
  <c r="H48" i="5"/>
  <c r="I48" i="5"/>
  <c r="J48" i="5"/>
  <c r="K48" i="5"/>
  <c r="F48" i="5"/>
  <c r="L48" i="5"/>
  <c r="F52" i="5"/>
  <c r="F51" i="5" s="1"/>
  <c r="F61" i="5"/>
  <c r="E68" i="5"/>
  <c r="E67" i="5"/>
  <c r="E65" i="5"/>
  <c r="E64" i="5"/>
  <c r="E59" i="5"/>
  <c r="E58" i="5"/>
  <c r="E53" i="5"/>
  <c r="G45" i="5"/>
  <c r="H45" i="5"/>
  <c r="I45" i="5"/>
  <c r="J45" i="5"/>
  <c r="K45" i="5"/>
  <c r="M45" i="5"/>
  <c r="F46" i="5"/>
  <c r="F45" i="5" s="1"/>
  <c r="E47" i="5"/>
  <c r="G42" i="5"/>
  <c r="H42" i="5"/>
  <c r="I42" i="5"/>
  <c r="J42" i="5"/>
  <c r="K42" i="5"/>
  <c r="L42" i="5"/>
  <c r="F43" i="5"/>
  <c r="E44" i="5"/>
  <c r="G39" i="5"/>
  <c r="H39" i="5"/>
  <c r="I39" i="5"/>
  <c r="F39" i="5"/>
  <c r="M39" i="5"/>
  <c r="E41" i="5"/>
  <c r="G36" i="5"/>
  <c r="H36" i="5"/>
  <c r="I36" i="5"/>
  <c r="J36" i="5"/>
  <c r="K36" i="5"/>
  <c r="F36" i="5"/>
  <c r="L36" i="5"/>
  <c r="E38" i="5"/>
  <c r="G33" i="5"/>
  <c r="H33" i="5"/>
  <c r="I33" i="5"/>
  <c r="J33" i="5"/>
  <c r="K33" i="5"/>
  <c r="F33" i="5"/>
  <c r="E35" i="5"/>
  <c r="G30" i="5"/>
  <c r="H30" i="5"/>
  <c r="I30" i="5"/>
  <c r="L30" i="5"/>
  <c r="M30" i="5"/>
  <c r="F30" i="5"/>
  <c r="E32" i="5"/>
  <c r="E31" i="5"/>
  <c r="G27" i="5"/>
  <c r="H27" i="5"/>
  <c r="I27" i="5"/>
  <c r="J27" i="5"/>
  <c r="K27" i="5"/>
  <c r="L27" i="5"/>
  <c r="M27" i="5"/>
  <c r="F27" i="5"/>
  <c r="E29" i="5"/>
  <c r="E28" i="5"/>
  <c r="G24" i="5"/>
  <c r="H24" i="5"/>
  <c r="I24" i="5"/>
  <c r="J24" i="5"/>
  <c r="K24" i="5"/>
  <c r="L24" i="5"/>
  <c r="M24" i="5"/>
  <c r="F24" i="5"/>
  <c r="E26" i="5"/>
  <c r="E25" i="5"/>
  <c r="G15" i="5"/>
  <c r="H15" i="5"/>
  <c r="I15" i="5"/>
  <c r="J15" i="5"/>
  <c r="K15" i="5"/>
  <c r="L15" i="5"/>
  <c r="M15" i="5"/>
  <c r="F15" i="5"/>
  <c r="E16" i="5"/>
  <c r="E17" i="5"/>
  <c r="E14" i="5"/>
  <c r="G12" i="5"/>
  <c r="H12" i="5"/>
  <c r="I12" i="5"/>
  <c r="J12" i="5"/>
  <c r="K12" i="5"/>
  <c r="F12" i="5"/>
  <c r="M252" i="5"/>
  <c r="E194" i="5" l="1"/>
  <c r="E173" i="5"/>
  <c r="E151" i="5"/>
  <c r="F73" i="5"/>
  <c r="E73" i="5" s="1"/>
  <c r="E170" i="5"/>
  <c r="E168" i="5"/>
  <c r="E188" i="5"/>
  <c r="E179" i="5"/>
  <c r="E176" i="5"/>
  <c r="E235" i="5"/>
  <c r="E236" i="5"/>
  <c r="E182" i="5"/>
  <c r="E140" i="5"/>
  <c r="E197" i="5"/>
  <c r="H160" i="5"/>
  <c r="E160" i="5" s="1"/>
  <c r="E161" i="5"/>
  <c r="E200" i="5"/>
  <c r="E212" i="5"/>
  <c r="E142" i="5"/>
  <c r="E258" i="5"/>
  <c r="E107" i="5"/>
  <c r="L33" i="5"/>
  <c r="F42" i="5"/>
  <c r="F72" i="5"/>
  <c r="K266" i="5"/>
  <c r="G72" i="5"/>
  <c r="K72" i="5"/>
  <c r="I72" i="5"/>
  <c r="H265" i="5"/>
  <c r="L138" i="5"/>
  <c r="J118" i="5"/>
  <c r="F265" i="5"/>
  <c r="I265" i="5"/>
  <c r="H72" i="5"/>
  <c r="K261" i="5"/>
  <c r="J261" i="5"/>
  <c r="J266" i="5"/>
  <c r="M262" i="5"/>
  <c r="L262" i="5"/>
  <c r="M95" i="5"/>
  <c r="L120" i="5"/>
  <c r="M265" i="5"/>
  <c r="K265" i="5"/>
  <c r="K118" i="5"/>
  <c r="L265" i="5"/>
  <c r="F261" i="5"/>
  <c r="H261" i="5"/>
  <c r="G261" i="5"/>
  <c r="K138" i="5"/>
  <c r="I266" i="5"/>
  <c r="H267" i="5"/>
  <c r="I267" i="5"/>
  <c r="J267" i="5"/>
  <c r="F267" i="5"/>
  <c r="K267" i="5"/>
  <c r="G267" i="5"/>
  <c r="I261" i="5"/>
  <c r="F118" i="5"/>
  <c r="F138" i="5"/>
  <c r="L238" i="5"/>
  <c r="M263" i="5"/>
  <c r="F166" i="5"/>
  <c r="J166" i="5"/>
  <c r="L243" i="5"/>
  <c r="L263" i="5"/>
  <c r="M255" i="5"/>
  <c r="L255" i="5"/>
  <c r="E52" i="5"/>
  <c r="G138" i="5"/>
  <c r="G166" i="5"/>
  <c r="K166" i="5"/>
  <c r="M249" i="5"/>
  <c r="H118" i="5"/>
  <c r="I118" i="5"/>
  <c r="M243" i="5"/>
  <c r="L249" i="5"/>
  <c r="L252" i="5"/>
  <c r="E252" i="5" s="1"/>
  <c r="E24" i="5"/>
  <c r="M129" i="5"/>
  <c r="M157" i="5"/>
  <c r="E157" i="5" s="1"/>
  <c r="L234" i="5"/>
  <c r="H234" i="5"/>
  <c r="E30" i="5"/>
  <c r="E104" i="5"/>
  <c r="M148" i="5"/>
  <c r="E148" i="5" s="1"/>
  <c r="I166" i="5"/>
  <c r="J234" i="5"/>
  <c r="E63" i="5"/>
  <c r="E66" i="5"/>
  <c r="E101" i="5"/>
  <c r="G120" i="5"/>
  <c r="H167" i="5"/>
  <c r="F234" i="5"/>
  <c r="I234" i="5"/>
  <c r="L92" i="5"/>
  <c r="M123" i="5"/>
  <c r="K234" i="5"/>
  <c r="G234" i="5"/>
  <c r="E27" i="5"/>
  <c r="M92" i="5"/>
  <c r="L167" i="5"/>
  <c r="E13" i="5"/>
  <c r="E57" i="5"/>
  <c r="F60" i="5"/>
  <c r="M76" i="5"/>
  <c r="L83" i="5"/>
  <c r="G119" i="5"/>
  <c r="M126" i="5"/>
  <c r="E135" i="5"/>
  <c r="I138" i="5"/>
  <c r="E111" i="5"/>
  <c r="L12" i="5"/>
  <c r="M86" i="5"/>
  <c r="E112" i="5"/>
  <c r="L132" i="5"/>
  <c r="L45" i="5"/>
  <c r="J138" i="5"/>
  <c r="E102" i="5"/>
  <c r="E81" i="5"/>
  <c r="E51" i="5"/>
  <c r="M48" i="5"/>
  <c r="E61" i="5"/>
  <c r="M12" i="5"/>
  <c r="E15" i="5"/>
  <c r="E255" i="5" l="1"/>
  <c r="E243" i="5"/>
  <c r="E263" i="5"/>
  <c r="E249" i="5"/>
  <c r="E262" i="5"/>
  <c r="E234" i="5"/>
  <c r="F266" i="5"/>
  <c r="F264" i="5" s="1"/>
  <c r="L266" i="5"/>
  <c r="L166" i="5"/>
  <c r="E121" i="5"/>
  <c r="G266" i="5"/>
  <c r="H166" i="5"/>
  <c r="L72" i="5"/>
  <c r="L118" i="5"/>
  <c r="M238" i="5"/>
  <c r="E238" i="5" s="1"/>
  <c r="M120" i="5"/>
  <c r="K264" i="5"/>
  <c r="M267" i="5"/>
  <c r="M261" i="5"/>
  <c r="L267" i="5"/>
  <c r="L261" i="5"/>
  <c r="I264" i="5"/>
  <c r="J264" i="5"/>
  <c r="H266" i="5"/>
  <c r="H264" i="5" s="1"/>
  <c r="E119" i="5"/>
  <c r="G265" i="5"/>
  <c r="E265" i="5" s="1"/>
  <c r="E310" i="8" s="1"/>
  <c r="M145" i="5"/>
  <c r="E145" i="5" s="1"/>
  <c r="M89" i="5"/>
  <c r="M42" i="5"/>
  <c r="M33" i="5"/>
  <c r="M154" i="5"/>
  <c r="E154" i="5" s="1"/>
  <c r="E60" i="5"/>
  <c r="E37" i="5"/>
  <c r="M36" i="5"/>
  <c r="E98" i="5"/>
  <c r="E12" i="5"/>
  <c r="M167" i="5"/>
  <c r="E167" i="5" s="1"/>
  <c r="M139" i="5"/>
  <c r="M132" i="5"/>
  <c r="M79" i="5"/>
  <c r="E99" i="5"/>
  <c r="E62" i="5"/>
  <c r="E56" i="5"/>
  <c r="E261" i="5" l="1"/>
  <c r="E267" i="5"/>
  <c r="E312" i="8" s="1"/>
  <c r="M266" i="5"/>
  <c r="E266" i="5" s="1"/>
  <c r="E311" i="8" s="1"/>
  <c r="M138" i="5"/>
  <c r="E138" i="5" s="1"/>
  <c r="M166" i="5"/>
  <c r="E166" i="5" s="1"/>
  <c r="M72" i="5"/>
  <c r="E89" i="5"/>
  <c r="M118" i="5"/>
  <c r="L264" i="5"/>
  <c r="G264" i="5"/>
  <c r="E36" i="5"/>
  <c r="E123" i="5"/>
  <c r="E124" i="5"/>
  <c r="E43" i="5"/>
  <c r="E50" i="5"/>
  <c r="E309" i="8" l="1"/>
  <c r="E33" i="5"/>
  <c r="E90" i="5"/>
  <c r="E126" i="5"/>
  <c r="E42" i="5"/>
  <c r="M264" i="5"/>
  <c r="E264" i="5" s="1"/>
  <c r="E92" i="5"/>
  <c r="E45" i="5"/>
  <c r="E34" i="5"/>
  <c r="E76" i="5"/>
  <c r="E77" i="5"/>
  <c r="E133" i="5"/>
  <c r="E139" i="5"/>
  <c r="E86" i="5"/>
  <c r="E87" i="5"/>
  <c r="E127" i="5"/>
  <c r="E39" i="5"/>
  <c r="E40" i="5"/>
  <c r="E93" i="5"/>
  <c r="E115" i="5"/>
  <c r="E116" i="5"/>
  <c r="E95" i="5"/>
  <c r="E96" i="5"/>
  <c r="E83" i="5"/>
  <c r="E84" i="5"/>
  <c r="E129" i="5"/>
  <c r="E130" i="5"/>
  <c r="E46" i="5"/>
  <c r="E55" i="5" l="1"/>
  <c r="E48" i="5"/>
  <c r="E49" i="5"/>
  <c r="E54" i="5"/>
  <c r="E79" i="5"/>
  <c r="E80" i="5"/>
  <c r="E118" i="5" l="1"/>
  <c r="E120" i="5"/>
  <c r="E72" i="5"/>
  <c r="E132" i="5"/>
</calcChain>
</file>

<file path=xl/comments1.xml><?xml version="1.0" encoding="utf-8"?>
<comments xmlns="http://schemas.openxmlformats.org/spreadsheetml/2006/main">
  <authors>
    <author>Анастасия Г. Силич</author>
    <author>Татьяна П. Мельникова</author>
  </authors>
  <commentList>
    <comment ref="M31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перенесли на п.1.1.</t>
        </r>
      </text>
    </comment>
    <comment ref="L40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поправки-ком.усл.77,1</t>
        </r>
      </text>
    </comment>
    <comment ref="L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22,5 тыс.руб на купель, 10,2 на софинансир.п.5,1
</t>
        </r>
      </text>
    </comment>
    <comment ref="L64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добавили 22,5 с п 1.15</t>
        </r>
      </text>
    </comment>
    <comment ref="K70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резервный фонд, средства Администрации</t>
        </r>
      </text>
    </comment>
    <comment ref="L8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софин на п 2.12-3,3 тыс. руб</t>
        </r>
      </text>
    </comment>
    <comment ref="L149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перераспр на п 4.4.-21,1 тыс. руб, на п 4.2. -5,4 тыс. руб (Сторожева ОИ)</t>
        </r>
      </text>
    </comment>
    <comment ref="L171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786т.р.оборудование для фондохранилища музея</t>
        </r>
      </text>
    </comment>
    <comment ref="L207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
на п. 5.6. - 220,0 тыс. рубле (ходатайство)</t>
        </r>
      </text>
    </comment>
    <comment ref="L222" authorId="0" shapeId="0">
      <text>
        <r>
          <rPr>
            <b/>
            <sz val="9"/>
            <color indexed="81"/>
            <rFont val="Tahoma"/>
            <family val="2"/>
            <charset val="204"/>
          </rPr>
          <t>Анастасия Г. Силич:</t>
        </r>
        <r>
          <rPr>
            <sz val="9"/>
            <color indexed="81"/>
            <rFont val="Tahoma"/>
            <family val="2"/>
            <charset val="204"/>
          </rPr>
          <t xml:space="preserve">
НЦБС
</t>
        </r>
      </text>
    </comment>
    <comment ref="L225" authorId="1" shapeId="0">
      <text>
        <r>
          <rPr>
            <b/>
            <sz val="9"/>
            <color indexed="81"/>
            <rFont val="Tahoma"/>
            <family val="2"/>
            <charset val="204"/>
          </rPr>
          <t>Татьяна П. Мельникова:</t>
        </r>
        <r>
          <rPr>
            <sz val="9"/>
            <color indexed="81"/>
            <rFont val="Tahoma"/>
            <family val="2"/>
            <charset val="204"/>
          </rPr>
          <t xml:space="preserve">
ПСД системы вентиляции</t>
        </r>
      </text>
    </comment>
  </commentList>
</comments>
</file>

<file path=xl/comments2.xml><?xml version="1.0" encoding="utf-8"?>
<comments xmlns="http://schemas.openxmlformats.org/spreadsheetml/2006/main">
  <authors>
    <author>Анастасия Г. Силич</author>
  </authors>
  <commentList>
    <comment ref="F82" authorId="0" shapeId="0">
      <text>
        <r>
          <rPr>
            <b/>
            <sz val="9"/>
            <color indexed="81"/>
            <rFont val="Tahoma"/>
            <charset val="1"/>
          </rPr>
          <t>Анастасия Г. Силич:</t>
        </r>
        <r>
          <rPr>
            <sz val="9"/>
            <color indexed="81"/>
            <rFont val="Tahoma"/>
            <charset val="1"/>
          </rPr>
          <t xml:space="preserve">
148,4 тыс.руб перераспределено на пункт 2.5
</t>
        </r>
      </text>
    </comment>
  </commentList>
</comments>
</file>

<file path=xl/sharedStrings.xml><?xml version="1.0" encoding="utf-8"?>
<sst xmlns="http://schemas.openxmlformats.org/spreadsheetml/2006/main" count="2044" uniqueCount="520">
  <si>
    <t>п/п</t>
  </si>
  <si>
    <t>Наименование</t>
  </si>
  <si>
    <t>ПЕРЕЧЕНЬ МЕРОПРИЯТИЙ МУНИЦИПАЛЬНОЙ ПРОГРАММЫ</t>
  </si>
  <si>
    <t>мероприятий</t>
  </si>
  <si>
    <t>Ответственный</t>
  </si>
  <si>
    <t>Срок реализации</t>
  </si>
  <si>
    <t>Конечный результат</t>
  </si>
  <si>
    <t>начала реализации</t>
  </si>
  <si>
    <t>окончания реализации</t>
  </si>
  <si>
    <t>Всего</t>
  </si>
  <si>
    <t>ОБ</t>
  </si>
  <si>
    <t>МБ</t>
  </si>
  <si>
    <t>ФБ</t>
  </si>
  <si>
    <t>РЕСУРСНОЕ ОБЕСПЕЧЕНИЕ РЕАЛИЗАЦИИ МУНИЦИПАЛЬНОЙ ПРОГРАММЫ</t>
  </si>
  <si>
    <t>1</t>
  </si>
  <si>
    <t>Встречи с мастерами народно-художественных промыслов. Проведение мастер-классов с умельцами народного творчества</t>
  </si>
  <si>
    <t>Пополнение банка данных о народных мастерах, хранителях нематериального культурного наследия, о национально- культурных объединениях, организация мониторинга результатов их деятельности</t>
  </si>
  <si>
    <t>Обновление базы данных фондов музея</t>
  </si>
  <si>
    <t>Реставрация особо ценных единиц фондового хранения</t>
  </si>
  <si>
    <t>Участие в археологических экспедициях (проезд, проживание, питание, приобретение снаряжения)</t>
  </si>
  <si>
    <t>Подготовка методических каталогов, в целях изучения и сохранения народной традиционной культуры, местного творчества</t>
  </si>
  <si>
    <t>Оказание услуг и обеспечение деятельности музея</t>
  </si>
  <si>
    <t>Изготовление и монтаж баннера к юбилею муниципального образования</t>
  </si>
  <si>
    <t>Изготовление праздничной баннерной продукции</t>
  </si>
  <si>
    <t>Изготовление памятных мемориальных досок</t>
  </si>
  <si>
    <t>Департамент соцполитики</t>
  </si>
  <si>
    <t>Обеспечение услугами в сфере культура</t>
  </si>
  <si>
    <t>Сохранение народных промыслов и ремесел</t>
  </si>
  <si>
    <t>Сбор информации и ее систематизация</t>
  </si>
  <si>
    <t>Сохранение и возрождение  национальной культуры</t>
  </si>
  <si>
    <t>Сохранение фондов</t>
  </si>
  <si>
    <t>Пополнение фонда</t>
  </si>
  <si>
    <t>Сохранение объектов культурного наследия</t>
  </si>
  <si>
    <t>Сохранение историко-культурного наследия</t>
  </si>
  <si>
    <t>Сохранение обрядов, традиций народов Севера</t>
  </si>
  <si>
    <t>Функционирование музея</t>
  </si>
  <si>
    <t>Чествование активистов</t>
  </si>
  <si>
    <t>Чествование меценатов</t>
  </si>
  <si>
    <t>Фотовыставка, награждение победителей</t>
  </si>
  <si>
    <t>Мероприятие, посвященное юбилейной дате</t>
  </si>
  <si>
    <t>1. Сохранение культурного наследия и расширение доступа к культурным ценностям и информации</t>
  </si>
  <si>
    <t>2. Пополнение и обеспечение сохранности библиотечного фонда документов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</si>
  <si>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им. Б.Н. Ельцина</t>
  </si>
  <si>
    <t>Издательская деятельность: издание методико-библиографических материалов, краеведческой литературы, поэтических сборников</t>
  </si>
  <si>
    <t>Автоматизация процессов обслуживания пользователей библиотек на базе автоматизированных рабочих мест</t>
  </si>
  <si>
    <t>Создание банка информации по проблемам библиотечного дела, осуществляющего накопление, систематизацию информации по разделам и темам: - организация доступа в банку профессиональной информации на любых носителях; предоставление доступа к общероссийским  базам данных</t>
  </si>
  <si>
    <t>Изготовление юбилейной книги «Большой России – малый уголок» подзаголовок «История района через призму воспоминаний»</t>
  </si>
  <si>
    <t>Комплектование книжных фондов библиотек муниципального образования</t>
  </si>
  <si>
    <t>Оказание услуг и обеспечение деятельности библиотек</t>
  </si>
  <si>
    <t>Пополнение фондов</t>
  </si>
  <si>
    <t>Создание условий для  предоставления качественных услуг населению</t>
  </si>
  <si>
    <t>Предоставление качественных услуг населению</t>
  </si>
  <si>
    <t>Проведение праздничных мероприятий</t>
  </si>
  <si>
    <t>3. Поддержка и развитие детского и молодежного  творчества, образования в сфере культуры</t>
  </si>
  <si>
    <t>Внедрение профессиональных программ музыкальной и художественной направленности</t>
  </si>
  <si>
    <t>Приобретение музыкальных инструментов</t>
  </si>
  <si>
    <t>Внедрение новых инновационных технологий в образовательный процесс</t>
  </si>
  <si>
    <t>Исполнение закона «Об образовании»</t>
  </si>
  <si>
    <t>4. Поддержка и развитие художественно-творческой деятельности. Сохранение и развитие традиций  народной культуры.</t>
  </si>
  <si>
    <t>Организация смотра художественной самодеятельности между предприятиями и учреждениями района.</t>
  </si>
  <si>
    <t>Организация и проведение концертов, праздников, фестивалей, смотров, новогодних мероприятий</t>
  </si>
  <si>
    <t>Поддержка коллективов художественной самодеятельности, создание новых коллективов (приобретение реквизита, костюмов, обуви, ткани)</t>
  </si>
  <si>
    <t>Поощрение участников художественной самодеятельности</t>
  </si>
  <si>
    <t>Поддержка коллективов, концерты, конкурсы, фейерверк, ледовые фигуры, обеспечение районных новогодних праздничных мероприятий</t>
  </si>
  <si>
    <t>Обеспечение и развитие культурно-досугового обслуживания населения</t>
  </si>
  <si>
    <t>Создание комфортных условий для посетителей</t>
  </si>
  <si>
    <t>Укрепление материально-технической базы</t>
  </si>
  <si>
    <t>Повышение преподавательского мастерства</t>
  </si>
  <si>
    <t>Награждение: грамоты, ценные подарки.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</si>
  <si>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реквизита.</t>
  </si>
  <si>
    <t>Капитальный ремонт фасада Районного центра досуга, в т.ч. разработка ПСД</t>
  </si>
  <si>
    <t>Текщий  ремонт помещений Районного центра досуга, в том числе разработка ПСД</t>
  </si>
  <si>
    <t>Строительство краеведческого музея в пгт. Ноглики</t>
  </si>
  <si>
    <t>Учреждения культуры</t>
  </si>
  <si>
    <t>Укрепление материально-технической базы учреждений</t>
  </si>
  <si>
    <t>Создание комфортных условий для учащихся</t>
  </si>
  <si>
    <t>Создание комфортных условий для работников и  посетителей</t>
  </si>
  <si>
    <t>Ввод в эксплуатацию нового здания</t>
  </si>
  <si>
    <t>Функционирование учреждения</t>
  </si>
  <si>
    <t>6. Комплексная безопасность учреждений культуры</t>
  </si>
  <si>
    <t>Обеспечение безопасности</t>
  </si>
  <si>
    <t>7. Развитие кадрового потенциала</t>
  </si>
  <si>
    <t>Содействие формированию кадров нового поколения, обеспечение мероприятий по закреплению высококвалифицированных специалистов</t>
  </si>
  <si>
    <t>Публичное поощрение лучших работников отрасли в дни профессиональных праздников и иных торжественных мероприятий</t>
  </si>
  <si>
    <t>Организация целенаправленной  профориентационной работы</t>
  </si>
  <si>
    <t>Формирование резерва руководящих кадров учреждений  культуры</t>
  </si>
  <si>
    <t>Мониторинг действительной потребности в кадрах с целью  корректировки планов подготовки специалистов и повышения квалификации работающих</t>
  </si>
  <si>
    <t>Реализация Закона Сахалинской области от 23.12.2005 № 106-ЗО «О дополнительной гарантии молодежи, проживающей и работающей в Сахалинской области»</t>
  </si>
  <si>
    <t>Реализация  закона Сахалинской области «Заслуженный работник культуры Сахалинской области»</t>
  </si>
  <si>
    <t>Департамент социальной политики</t>
  </si>
  <si>
    <t>Повышение уровня знаний</t>
  </si>
  <si>
    <t>Укрепление кадрами</t>
  </si>
  <si>
    <t>Пополнение кадрами</t>
  </si>
  <si>
    <t>Резерв кадров</t>
  </si>
  <si>
    <t>Привлечение молодых специалистов</t>
  </si>
  <si>
    <t>Поощрение сотрудников</t>
  </si>
  <si>
    <t>Социальная поддержка отдельных категорий граждан</t>
  </si>
  <si>
    <t>Повышения качества предоставления услуг</t>
  </si>
  <si>
    <t>Наименование мероприятия</t>
  </si>
  <si>
    <t>2015 г.</t>
  </si>
  <si>
    <t>2016 г.</t>
  </si>
  <si>
    <t>2017 г.</t>
  </si>
  <si>
    <t>2018 г.</t>
  </si>
  <si>
    <t>2019 г.</t>
  </si>
  <si>
    <t>2020 г.</t>
  </si>
  <si>
    <t>2021 г.</t>
  </si>
  <si>
    <t>2022 г.</t>
  </si>
  <si>
    <t>2</t>
  </si>
  <si>
    <t>Источник финансирования</t>
  </si>
  <si>
    <t>ИТОГО, в т.ч.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</si>
  <si>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</si>
  <si>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</si>
  <si>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</si>
  <si>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</si>
  <si>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</si>
  <si>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</si>
  <si>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</si>
  <si>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</si>
  <si>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</si>
  <si>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1.10</t>
  </si>
  <si>
    <t>1.11</t>
  </si>
  <si>
    <t>1.12</t>
  </si>
  <si>
    <t>1.13</t>
  </si>
  <si>
    <t>1.14</t>
  </si>
  <si>
    <t>1.15</t>
  </si>
  <si>
    <t>1.16</t>
  </si>
  <si>
    <t>1.17</t>
  </si>
  <si>
    <t>1.18</t>
  </si>
  <si>
    <t>1.19</t>
  </si>
  <si>
    <t>1.20</t>
  </si>
  <si>
    <t>1.21</t>
  </si>
  <si>
    <t>2.1</t>
  </si>
  <si>
    <t>2.2</t>
  </si>
  <si>
    <t>2.3</t>
  </si>
  <si>
    <t>2.4</t>
  </si>
  <si>
    <t>2.5</t>
  </si>
  <si>
    <t>2.6</t>
  </si>
  <si>
    <t>2.7</t>
  </si>
  <si>
    <t>2.8</t>
  </si>
  <si>
    <t>2.9</t>
  </si>
  <si>
    <t>2.10</t>
  </si>
  <si>
    <t>2.11</t>
  </si>
  <si>
    <t>2.12</t>
  </si>
  <si>
    <t>2.13</t>
  </si>
  <si>
    <t>2.14</t>
  </si>
  <si>
    <t>3.1</t>
  </si>
  <si>
    <t>3.2</t>
  </si>
  <si>
    <t>3.3</t>
  </si>
  <si>
    <t>3.4</t>
  </si>
  <si>
    <t>3.5</t>
  </si>
  <si>
    <t>4.1</t>
  </si>
  <si>
    <t>4.2</t>
  </si>
  <si>
    <t>4.3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</si>
  <si>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</si>
  <si>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</si>
  <si>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</si>
  <si>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</si>
  <si>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</si>
  <si>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</si>
  <si>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</si>
  <si>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</si>
  <si>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</si>
  <si>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</si>
  <si>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</si>
  <si>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</si>
  <si>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5.8</t>
  </si>
  <si>
    <t>5.9</t>
  </si>
  <si>
    <t>5.10</t>
  </si>
  <si>
    <t>5.11</t>
  </si>
  <si>
    <t>5.12</t>
  </si>
  <si>
    <t>6.1</t>
  </si>
  <si>
    <t>7.1</t>
  </si>
  <si>
    <t>7.2</t>
  </si>
  <si>
    <t>7.3</t>
  </si>
  <si>
    <t>7.4</t>
  </si>
  <si>
    <t>7.5</t>
  </si>
  <si>
    <t>7.6</t>
  </si>
  <si>
    <t>7.7</t>
  </si>
  <si>
    <t>7.8</t>
  </si>
  <si>
    <t>7.9</t>
  </si>
  <si>
    <t>7.10</t>
  </si>
  <si>
    <t>7.11</t>
  </si>
  <si>
    <t>Всего по программе</t>
  </si>
  <si>
    <t>Всего по основному мероприятию раздела 1</t>
  </si>
  <si>
    <t>Всего по основному мероприятию раздела 2</t>
  </si>
  <si>
    <t>Всего по основному мероприятию раздела 3</t>
  </si>
  <si>
    <t>Всего по основному мероприятию раздела 5</t>
  </si>
  <si>
    <t>Всего по основному мероприятию раздела 4</t>
  </si>
  <si>
    <t>Всего по основному мероприятию раздела 6</t>
  </si>
  <si>
    <t>Всего по основному мероприятию раздела 7</t>
  </si>
  <si>
    <t>Департамент соцполитики Директор МБУК музей</t>
  </si>
  <si>
    <t>Изготовление ледовых фигур, обустройство купели на Крещение</t>
  </si>
  <si>
    <t>Департамент соцполитики Директора учреждений культуры</t>
  </si>
  <si>
    <t>Департамент соцполитики    Отдел культуры, спорта,МП и РТ</t>
  </si>
  <si>
    <t>2015                   1 раз в 2 года</t>
  </si>
  <si>
    <t>2016</t>
  </si>
  <si>
    <t>2023</t>
  </si>
  <si>
    <t>2016                    1 раз в 2 года</t>
  </si>
  <si>
    <t>2017</t>
  </si>
  <si>
    <t>Накопление материала. Пополнение фондов</t>
  </si>
  <si>
    <t>Праздничное оформление улиц поселка</t>
  </si>
  <si>
    <t>Сохранение исторического наследия округа</t>
  </si>
  <si>
    <t xml:space="preserve"> Создание бренда окрга, проведение мероприятий, посвященных юбилейным датам</t>
  </si>
  <si>
    <t>Обеспечение полноценного комплектования документных фондов библиотеки, филиалов. Приобретение литературы по отраслям знаний, классической и методической литературы, художественной, справочной, литературы для детей и молодежи пр. Доведение объемов поступлений новой литературы до нормативных показателей</t>
  </si>
  <si>
    <t>Улучшение условий труда работников библиотеки, эффективность в обслуживании  посетителей</t>
  </si>
  <si>
    <t>Издание книги «Большой России- малый уголок» в количестве 2 тыс.экз.</t>
  </si>
  <si>
    <t>Выпуск книги к 90-летию округа в   количестве 2 тыс. экз.</t>
  </si>
  <si>
    <t>Пополнение фондов школы новыми инструментами</t>
  </si>
  <si>
    <t>Организация досуга населения, выявление новых талантливых жителей округа</t>
  </si>
  <si>
    <t>Организация отдыха и досуга населения в праздничные дни</t>
  </si>
  <si>
    <t>2021</t>
  </si>
  <si>
    <t>2020</t>
  </si>
  <si>
    <t>Создание положительного имиджа округа</t>
  </si>
  <si>
    <t>Мероприятия, посвященные празднованию Нового года и Рождества</t>
  </si>
  <si>
    <t>Создание справочников, бюллетений. Расширение доступа к информации</t>
  </si>
  <si>
    <t>Демонстрация итогов образовательного процесса.Призовые места, лауреаты</t>
  </si>
  <si>
    <t>Улучшение качества преподавания в ДШИ</t>
  </si>
  <si>
    <t xml:space="preserve">Организация досуга населения, предоставление спектора качественных услуг </t>
  </si>
  <si>
    <t>2015</t>
  </si>
  <si>
    <t>2022</t>
  </si>
  <si>
    <t>Повышение престижа профессии</t>
  </si>
  <si>
    <t xml:space="preserve">5. Развитие  материально - материально технической базы учреждений культуры </t>
  </si>
  <si>
    <t>5.13</t>
  </si>
  <si>
    <t>5.14</t>
  </si>
  <si>
    <t>5.15</t>
  </si>
  <si>
    <t xml:space="preserve"> Департамент соцполитики/Директор МБУК  музей</t>
  </si>
  <si>
    <t>Департамент соцполитики/Директор МБУК НЦБС</t>
  </si>
  <si>
    <t>Департамент соцполитики/Директор МБУ ДО ДШИ</t>
  </si>
  <si>
    <t>Департамент соцполитики/Директор МБУК РЦД</t>
  </si>
  <si>
    <t>Департамент соцполитики/Директора учреждений культуры</t>
  </si>
  <si>
    <t xml:space="preserve">Департамент соцполитики/Руководители учреждений </t>
  </si>
  <si>
    <t>2019</t>
  </si>
  <si>
    <t>Текущий  ремонт помещений Районного центра досуга, в том числе разработка ПСД</t>
  </si>
  <si>
    <t>Укрепление и развитие регионального потенциала в сфере культуры,   приобретение звукотехнического оборудования</t>
  </si>
  <si>
    <t>Текущий ремонт МБУК «Ногликская централизованная библиотечная  система»</t>
  </si>
  <si>
    <t>Реконструкция части территории МБУК «Ногликская централизованная библиотечная  система»</t>
  </si>
  <si>
    <t>Проведение муниципального конкурса «Благотворитель года»</t>
  </si>
  <si>
    <t>Проведение муниципального конкурса «Мир глазами»</t>
  </si>
  <si>
    <r>
      <rPr>
        <b/>
        <sz val="10"/>
        <color theme="1"/>
        <rFont val="Times New Roman"/>
        <family val="1"/>
        <charset val="204"/>
      </rPr>
      <t>«</t>
    </r>
    <r>
      <rPr>
        <sz val="10"/>
        <color theme="1"/>
        <rFont val="Times New Roman"/>
        <family val="1"/>
        <charset val="204"/>
      </rPr>
      <t>Развитие культуры в муниципальном образовании «Городской округ Ногликский»</t>
    </r>
  </si>
  <si>
    <t>»</t>
  </si>
  <si>
    <t>исполнитель</t>
  </si>
  <si>
    <t>Охрана объектов культурного наследия: - техническая инвентаризация объектов недвиживмого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</si>
  <si>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Изготовление сувенирной продукции к юбилейным торжествам, посвященным 85-летию, 90 летию, 95 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</si>
  <si>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Ремонт СДК с. Ныш, с. Вал</t>
  </si>
  <si>
    <t>Внедрение в рабочий процесс инновационных технологий, обучение новым методикам, развитие мотивации к созидательной деятельности работниками учреждений</t>
  </si>
  <si>
    <t>Благоустройство территории. Улучшение облик учреждения</t>
  </si>
  <si>
    <t>Департамент соцполитики/Директора МБУК клубного типа  СДК с. Ныш , СДК с. Вал</t>
  </si>
  <si>
    <t>Капитальный ремонт помещений МБУК «Ногликская централизованная библиотечная система»</t>
  </si>
  <si>
    <t>Подключение библиотек к информационно-телекоммуникационной сети «Интернет», расширение информационных технологий</t>
  </si>
  <si>
    <t>Администрация муниципального образования «Городской округ Ногликский», Департамент соцполитики</t>
  </si>
  <si>
    <t>Замена рекламных щитов на въезде в пгт. Ноглики со стороны юга и со стороны севера</t>
  </si>
  <si>
    <t>Администрация муниципального образования «Городской округ Ногликский»</t>
  </si>
  <si>
    <t>Приобретение книг «Островное ожерелье России», «Острова в Тихом океане», сувениров с символикой муниципального образования «Городской округ Ногликский»</t>
  </si>
  <si>
    <t>Департамент соцполитики Директор СДК с. Ныш</t>
  </si>
  <si>
    <t>Департамент соцполитики    Отдел культуры, спорта, МП и РТ</t>
  </si>
  <si>
    <t>Главный распорядитель финансовых средств/Ответственный исполнитель</t>
  </si>
  <si>
    <t>Объем финансовых средств (тыс.руб.) в том числе:</t>
  </si>
  <si>
    <t>«Развитие культуры в муниципальном образовании «Городской округ Ногликский»</t>
  </si>
  <si>
    <t>Реконструкция части территории МБУК «Ногликская централизованная библиотечная система»</t>
  </si>
  <si>
    <t>Текущий ремонт МБУК «Ногликская централизованная библиотечная система»</t>
  </si>
  <si>
    <t>Текущий ремонт МБУК «Ногликский муниципальный краеведческий музей»</t>
  </si>
  <si>
    <t>Администрация муниципального образования  «Городской округ Ногликский», Департамент соцполитики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</si>
  <si>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музея согласно плану работы музея</t>
  </si>
  <si>
    <t xml:space="preserve">Отдел строительства и архитектуры </t>
  </si>
  <si>
    <t>Департамент соцполитики/Отдел культуры, спорта, МП и РТ</t>
  </si>
  <si>
    <t>Укрепление материально-технической базы, создание новых коллективов художественной самодеятельности</t>
  </si>
  <si>
    <t>Поддержка молодых дарований. Проведение творческих школ, мастер – классов</t>
  </si>
  <si>
    <t>Участие  в международных, региональных, областных выставках, фестивалях, смотрах, конкурсах профессионального мастерства, академических концертах</t>
  </si>
  <si>
    <t>Инновационные технологии в обучении компьютерной графики и дизайна на художественном отделении</t>
  </si>
  <si>
    <t>Приобретение сценического оборудования, музыкальных инструментов, -свето и  звуко- технического оборудования, фондового и экспозиционного оборудования, оргтехники, мебели, мягкого инвентаря, музыкальных инструментов, костюмов, ткани, обуви, реквизита</t>
  </si>
  <si>
    <t>Организация системы обучения работников учреждений культуры по обеспечению противопожарной и антитеррористической безопасности</t>
  </si>
  <si>
    <t>Осуществление мониторинга информационно-библиотечного обслуживания населения</t>
  </si>
  <si>
    <t>Подготовка и издание оперативной и тематических экспресс- информации, бюллетеня новых поступлений, рекомендательных списков и указателей</t>
  </si>
  <si>
    <t>Организация смотра художественной самодеятельности между предприятиями и учреждениями района</t>
  </si>
  <si>
    <t>4. Поддержка и развитие художественно-творческой деятельности. Сохранение и развитие традиций  народной культуры</t>
  </si>
  <si>
    <t>Демонстрация достижений участников художественной самодеятельности</t>
  </si>
  <si>
    <t>Текущий ремонт МБУ ДО «Детская школа искусств»</t>
  </si>
  <si>
    <t>Капитальный ремонт помещений МБУ ДО «Детская школа искусств»,   в том числе разработка ПСД</t>
  </si>
  <si>
    <t>Капитальный ремонт фасада МБУ ДО «Детская школа искусств», в том числе разработка ПСД</t>
  </si>
  <si>
    <t>Приобретение сценического оборудования, мебели для учреждений культуры, МБУ ДО «Детская школа искусств»</t>
  </si>
  <si>
    <t>Укрепление материальной базы МБУ ДО «Детская школа искусств»</t>
  </si>
  <si>
    <t>Департамент соцполитики Директор МБУ ДО ДШИ</t>
  </si>
  <si>
    <t>Проведение независимой оценки качества оказания услуг СДК                              с. Вал, МБУ ДО ДШИ, учреждений культуры</t>
  </si>
  <si>
    <t>Капитальный ремонт помещений МБУ ДО  «Детская школа искусств», в том числе разработка ПСД</t>
  </si>
  <si>
    <t>Обеспечение сохранности учрежденией культуры,  МБУ ДО «Детская школа искусств» (противопожарные мероприятия, установка видеонаблюдения, ограждения)</t>
  </si>
  <si>
    <t>Обеспечение сохранности учреждений культуры,  МБУ ДО «Детская школа искусств» (противопожарные мероприятия, установка видеонаблюдения, ограждения)</t>
  </si>
  <si>
    <t>1.22</t>
  </si>
  <si>
    <t>5.16</t>
  </si>
  <si>
    <t>Охрана объектов культурного наследия: - техническая инвентаризация объектов недвижимого имущества, изготовление кадастровых паспортов на объекты культурного наследия, ремонт и содержание памятников - осуществление государственной регистрации прав на объекты культурного наследия, находящихся на территории округа</t>
  </si>
  <si>
    <t>Департамент соцполитики, Директор МБУК музей</t>
  </si>
  <si>
    <t>Публичное поощрение граждан и коллективов, внесших вклад в сохрание и развитие культуры района и в связи с праздничными и юбилейными датами</t>
  </si>
  <si>
    <t>Пополнение фондов музея, приобретение экспонатов. Организация выставок произведений изобразительного искусства, особо ценных документальных коллекций личных фондов, находящихся в собственности юридических и физических лиц. Организация выставок нивхской, орокской, славянской культуры. Организация выставок согласно плану работы музея</t>
  </si>
  <si>
    <t xml:space="preserve"> Департамент соцполитки, Директор МБУ ДО ДШИ</t>
  </si>
  <si>
    <t>Департамент соцполитики, Директор МБУК РЦД</t>
  </si>
  <si>
    <t xml:space="preserve">5. Развитие  материально - технической базы учреждений культуры  </t>
  </si>
  <si>
    <t>Департамент соцполитики, Директор МБУ ДО ДШИ</t>
  </si>
  <si>
    <t>Департамент соцполитики, Директор МБУК НЦБС</t>
  </si>
  <si>
    <t>Департамент соцполитики, Директора учреждений культуры</t>
  </si>
  <si>
    <t>Департамент соцполитики, Отдел культуры, спорта, МП и РТ</t>
  </si>
  <si>
    <t>Департамент соцполитики,  отдел культуры, спорта, МП и РТ</t>
  </si>
  <si>
    <t>Департамент соцполитики,    Отдел культуры, спорта, МП и РТ</t>
  </si>
  <si>
    <t>Департамент соцполитики,  Руководители учреждений</t>
  </si>
  <si>
    <t>Департамент соцполитики, Руководители учреждений</t>
  </si>
  <si>
    <t>Укрепление и развитие регионального потенциала в сфере культуры, приобретение звукотехнического оборудования</t>
  </si>
  <si>
    <t>Публичное поощрение граждан и коллективов, внесших вклад в сохрание и развитие культуры района, и в связи с праздничными и юбилейными датами</t>
  </si>
  <si>
    <t>Приобретение светодиодного экрана (в том числе, комплектующие,доставка, установка,монтаж)</t>
  </si>
  <si>
    <t>Изготовление юбилейной книги к 90-летию муниципального образования, создание мультимедийного проекта к 90летию муниципального образования</t>
  </si>
  <si>
    <t>Приобретение светодиодного экрана (в том числе, комплектующие, доставка, установка,монтаж)</t>
  </si>
  <si>
    <t>5.17</t>
  </si>
  <si>
    <t>Капитальный ремонт санузла Районного центра досуга, в т.ч. разработка ПСД</t>
  </si>
  <si>
    <t>5.18</t>
  </si>
  <si>
    <t>Департамент соцполитики / Учреждения культуры</t>
  </si>
  <si>
    <t>Приобретение программного обеспечения</t>
  </si>
  <si>
    <t>Мероприятия государственной программы Сахалинской области «Развитие сферы культуры в Сахалинской области». Приобретение книжного фонда</t>
  </si>
  <si>
    <t>Департамент соцполитики Директор МБУК НЦБС</t>
  </si>
  <si>
    <t>Капитальный ремонт МБУК «Ногликская централизованная библиотечная система»</t>
  </si>
  <si>
    <t>5.19</t>
  </si>
  <si>
    <t>Капитальный ремонт МБУК Районный центр досуга, в т.ч. разработка ПСД</t>
  </si>
  <si>
    <t>№ п/п</t>
  </si>
  <si>
    <t>Поддержка кружка по изучению нивхского и уильтинского языков (приобретение методического, наглядного материала, оснащение  инвентарем, оргтехникой)</t>
  </si>
  <si>
    <t>Поддержка кружка по изучению нивхского и уильтинского языков  (приобретение методического, наглядного материала, оснащение  инвентарем, оргтехникой)</t>
  </si>
  <si>
    <t>Департамент соцполитики / Директора учреждений культуры</t>
  </si>
  <si>
    <t>Проведение мастер-классов</t>
  </si>
  <si>
    <t xml:space="preserve">Проведение мастер-классов </t>
  </si>
  <si>
    <t>Осуществление  комплекса мер по адаптации знаний и навыков работников культуры к новым требованиям в связи с использованием в практике новых информационных технологий путем проведения семинаров, курсов повышения квалификации, конференций, обучения и конкурсов профессионального мастерства</t>
  </si>
  <si>
    <t>Организация выездных концертов</t>
  </si>
  <si>
    <t>СВЕДЕНИЯ</t>
  </si>
  <si>
    <t>О ПОКАЗАТЕЛЯХ (ИНДИКАТОРАХ) МУНИЦИПАЛЬНОЙ ПРОГРАММЫ И ИХ ЗНАЧЕНИЯХ</t>
  </si>
  <si>
    <t>Значение по годам реализации муниципальной программы</t>
  </si>
  <si>
    <t>2015 год</t>
  </si>
  <si>
    <t>2016 год</t>
  </si>
  <si>
    <t>2017 год</t>
  </si>
  <si>
    <t>2018 год</t>
  </si>
  <si>
    <t xml:space="preserve">2019 год </t>
  </si>
  <si>
    <t>2020 год</t>
  </si>
  <si>
    <t xml:space="preserve">2021 год </t>
  </si>
  <si>
    <t>2022 год</t>
  </si>
  <si>
    <t>2023 год</t>
  </si>
  <si>
    <t>2024 год</t>
  </si>
  <si>
    <t>2025 год</t>
  </si>
  <si>
    <t>1.</t>
  </si>
  <si>
    <t>Доля численности участников культурно-досуговых мероприятий от общей численности населения округа</t>
  </si>
  <si>
    <t>%</t>
  </si>
  <si>
    <t>2.</t>
  </si>
  <si>
    <t>Доля представленных (во всех формах) зрителю музейных предметов от общего количества музейных предметов основного фонда</t>
  </si>
  <si>
    <t>3.</t>
  </si>
  <si>
    <t xml:space="preserve">Количество клубных  
формирований 
</t>
  </si>
  <si>
    <t>ед.</t>
  </si>
  <si>
    <t>4.</t>
  </si>
  <si>
    <t>Количество детей, получающих услуги по дополнительному образованию в детской школе искусств</t>
  </si>
  <si>
    <t>чел.</t>
  </si>
  <si>
    <t>5.</t>
  </si>
  <si>
    <t xml:space="preserve">Охват населения           
библиотечным обслуживанием от общей численности населения округа
      </t>
  </si>
  <si>
    <t>6.</t>
  </si>
  <si>
    <t>Число посещений культурных мероприятий</t>
  </si>
  <si>
    <t>Наименование индикатора (показателя)</t>
  </si>
  <si>
    <t>N п/п</t>
  </si>
  <si>
    <t>Базовый год год (факт)</t>
  </si>
  <si>
    <t>Ед. изм.</t>
  </si>
  <si>
    <t>Без затрат</t>
  </si>
  <si>
    <t>Текущий ремонт</t>
  </si>
  <si>
    <t>5.2.</t>
  </si>
  <si>
    <t>5.2.1.</t>
  </si>
  <si>
    <t>5.2.2.</t>
  </si>
  <si>
    <t>5.2.3.</t>
  </si>
  <si>
    <t>5.2.4.</t>
  </si>
  <si>
    <t>Благоустройство территории</t>
  </si>
  <si>
    <t>Капитальный ремонт</t>
  </si>
  <si>
    <t>5.3.</t>
  </si>
  <si>
    <t>МБУК Сельский дом кульуры с. Вал</t>
  </si>
  <si>
    <t>МБУК Районный центр досуга</t>
  </si>
  <si>
    <t>5.4.</t>
  </si>
  <si>
    <t>МБУК Сельский дом кульуры с. Ныш</t>
  </si>
  <si>
    <t>МБУК Музей Ногликского района</t>
  </si>
  <si>
    <t>Департамент соцполитики, Директор МБУК СДК с. Вал</t>
  </si>
  <si>
    <t>Департамент соцполитики, Директор МБУК СДК с. Ныш</t>
  </si>
  <si>
    <t>Департамент соцполитики, Директор МБУК Музей</t>
  </si>
  <si>
    <t>МБУК Ногликская централизованная библиотечная система</t>
  </si>
  <si>
    <t>5.5.</t>
  </si>
  <si>
    <t>5.6.</t>
  </si>
  <si>
    <t>МБУ ДО  «Детская школа искусств»</t>
  </si>
  <si>
    <t>5.3.1.</t>
  </si>
  <si>
    <t>5.3.2.</t>
  </si>
  <si>
    <t>5.3.3.</t>
  </si>
  <si>
    <t>5.3.4.</t>
  </si>
  <si>
    <t>5.4.1.</t>
  </si>
  <si>
    <t>5.4.2.</t>
  </si>
  <si>
    <t>5.4.3.</t>
  </si>
  <si>
    <t>5.5.1.</t>
  </si>
  <si>
    <t>5.5.2.</t>
  </si>
  <si>
    <t>5.5.3.</t>
  </si>
  <si>
    <t>5.5.4.</t>
  </si>
  <si>
    <t>5.6.1.</t>
  </si>
  <si>
    <t>5.6.2.</t>
  </si>
  <si>
    <t>5.6.3.</t>
  </si>
  <si>
    <t>5.6.4.</t>
  </si>
  <si>
    <t>5.7.</t>
  </si>
  <si>
    <t>5.7.1.</t>
  </si>
  <si>
    <t>5.7.2.</t>
  </si>
  <si>
    <t>5.7.3.</t>
  </si>
  <si>
    <t>5.7.4.</t>
  </si>
  <si>
    <t>2023                   1 раз в 2 года</t>
  </si>
  <si>
    <t>2023                    1 раз в 2 года</t>
  </si>
  <si>
    <t>Департамент соцполитики, Учреждения культуры</t>
  </si>
  <si>
    <t>5.7.4</t>
  </si>
  <si>
    <t>Проведение независимой оценки качества оказания услуг СДК с. Вал, МБУ ДО ДШИ, учреждений культуры</t>
  </si>
  <si>
    <t>5.1.</t>
  </si>
  <si>
    <t>Субсидия на осуществление расходов, не включенных в нормативные затраты на оказание муниципальных услуг (выполнение работ)</t>
  </si>
  <si>
    <t>5.4.5.</t>
  </si>
  <si>
    <r>
      <t xml:space="preserve">2. </t>
    </r>
    <r>
      <rPr>
        <sz val="9"/>
        <color indexed="8"/>
        <rFont val="Times New Roman"/>
        <family val="1"/>
        <charset val="204"/>
      </rPr>
      <t>Пополнение и обеспечение сохранности библиотечного фонда документов</t>
    </r>
  </si>
  <si>
    <r>
      <t xml:space="preserve">Подключение библиотек к информационно-телекоммуникационной сети </t>
    </r>
    <r>
      <rPr>
        <b/>
        <sz val="9"/>
        <rFont val="Times New Roman"/>
        <family val="1"/>
        <charset val="204"/>
      </rPr>
      <t>«</t>
    </r>
    <r>
      <rPr>
        <sz val="9"/>
        <rFont val="Times New Roman"/>
        <family val="1"/>
        <charset val="204"/>
      </rPr>
      <t>Интернет», расширение информационных технологий</t>
    </r>
  </si>
  <si>
    <t xml:space="preserve">Проведение муниципального конкурса «Женщина года». </t>
  </si>
  <si>
    <t>Проведение муниципального конкурса «Женщина года». Проведение концертов, митингов и торжественных мероприятий</t>
  </si>
  <si>
    <t>Приобретение сувениров с символикой муниципального образования «Городской округ Ногликский»</t>
  </si>
  <si>
    <t>Изготовление книги к юбилею муниципального образования, создание мультимедийного проекта к юбилею муниципального образования</t>
  </si>
  <si>
    <t xml:space="preserve">Приложение 2
к постановлению администрации 
муниципального образования
«Городской округ Ногликский» 
от           2023 года № </t>
  </si>
  <si>
    <t>«ПРИЛОЖЕНИЕ 3 часть 1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утвержденной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</si>
  <si>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 xml:space="preserve">ПРИЛОЖЕНИЕ 1 
к постановлению администрации 
муниципального образования
«Городской округ Ногликский» 
от              2023 года № </t>
  </si>
  <si>
    <t>«ПРИЛОЖЕНИЕ 2 часть 1
к муниципальной программе 
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</si>
  <si>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№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</si>
  <si>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</si>
  <si>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Проведение нивхского праздника «Тол ард» (кормление воды), (День рыбака), орокского «Курей» (День оленевода), Дня коренных народов мира, национальных фестивалей, Всероссийской акции «Ночь искусств» (оформление, приобретение наградного материала, призового фонда)</t>
  </si>
  <si>
    <t>Реализация решения Собрания муниципального образования «Городской округ Ногликский» от 30.05. 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</si>
  <si>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«Городской округ Ногликский»</t>
  </si>
  <si>
    <t>Проведение муниципального конкурса «Женщина года»</t>
  </si>
  <si>
    <t>2027</t>
  </si>
  <si>
    <t>Департамент соцполитики, Отдел КСМиСП,ТиКМНС</t>
  </si>
  <si>
    <t>Департамент соцполитики    Отдел КСМиСП,ТиКМНС</t>
  </si>
  <si>
    <t>Департамент соцполитики,  Отдел КСМиСП,ТиКМНС</t>
  </si>
  <si>
    <t>Департамент соцполитики,   Отдел КСМиСП,ТиКМНС</t>
  </si>
  <si>
    <t>Департамент соцполитики  Отдел КСМиСП,ТиКМНС</t>
  </si>
  <si>
    <t>2026 год</t>
  </si>
  <si>
    <t>2027 год</t>
  </si>
  <si>
    <t>посещ.</t>
  </si>
  <si>
    <t xml:space="preserve">Выпуск книги </t>
  </si>
  <si>
    <t xml:space="preserve">«Развитие культуры в муниципальном образовании «Городской округ Ногликский» </t>
  </si>
  <si>
    <r>
      <rPr>
        <sz val="11"/>
        <color theme="1"/>
        <rFont val="Times New Roman"/>
        <family val="1"/>
        <charset val="204"/>
      </rPr>
      <t>»</t>
    </r>
    <r>
      <rPr>
        <sz val="11"/>
        <color theme="1"/>
        <rFont val="Calibri"/>
        <family val="2"/>
        <charset val="204"/>
        <scheme val="minor"/>
      </rPr>
      <t xml:space="preserve"> </t>
    </r>
  </si>
  <si>
    <t>«ПРИЛОЖЕНИЕ 2 часть 2
к муниципальной программе                                     «Развитие культуры в муниципальном образовании 
«Городской округ Ногликский», 
 утвержденной постановлением администрации 
муниципального образования
«Городской округ Ногликский» 
от 18.11.2015 № 784</t>
  </si>
  <si>
    <t>«ПРИЛОЖЕНИЕ 1                                                                                                                                      к муниципальной программе 
«Развитие культуры в муниципальном образовании 
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
муниципального образования «Городской округ Ногликский»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</si>
  <si>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Поддержка деятельности объединений  мастеров декоративно-прикладного творчества на базе музея.                                                                                                                                                                                                                                                                                                                               Организация «Круглого стола»</t>
  </si>
  <si>
    <t>Изготовление и монтаж баннера к юбилею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</si>
  <si>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                                                                                                                                               имени Б.Н. Ельцина</t>
  </si>
  <si>
    <t>Департамент соцполитики/Отдел культуры, спорта,                                                                                                                                                                                                                                                                                                                                                                                                                                                             МП и РТ</t>
  </si>
  <si>
    <t>Издание книги «Большой России- малый уголок» в количестве                                                                                                                                                                                                                                                                                                                                                                                                                                          2 тыс. экз.</t>
  </si>
  <si>
    <t>1.1.</t>
  </si>
  <si>
    <t>1.2.</t>
  </si>
  <si>
    <t>1.3.</t>
  </si>
  <si>
    <t>1.4.</t>
  </si>
  <si>
    <t>1.5.</t>
  </si>
  <si>
    <t>1.6.</t>
  </si>
  <si>
    <t>1.7.</t>
  </si>
  <si>
    <t>1.8.</t>
  </si>
  <si>
    <t>1.9.</t>
  </si>
  <si>
    <t>1.10.</t>
  </si>
  <si>
    <t>1.11.</t>
  </si>
  <si>
    <t>1.12.</t>
  </si>
  <si>
    <t>1.13.</t>
  </si>
  <si>
    <t>1.14.</t>
  </si>
  <si>
    <t>1.15.</t>
  </si>
  <si>
    <t>1.16.</t>
  </si>
  <si>
    <t>1.17.</t>
  </si>
  <si>
    <t>1.18.</t>
  </si>
  <si>
    <t>1.19.</t>
  </si>
  <si>
    <t>1.20.</t>
  </si>
  <si>
    <t>1.21.</t>
  </si>
  <si>
    <t>1.22.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</si>
  <si>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</si>
  <si>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</si>
  <si>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</si>
  <si>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</si>
  <si>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</si>
  <si>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</si>
  <si>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</si>
  <si>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</si>
  <si>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</si>
  <si>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</si>
  <si>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</si>
  <si>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</si>
  <si>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</si>
  <si>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</si>
  <si>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3.1.</t>
  </si>
  <si>
    <t>3.2.</t>
  </si>
  <si>
    <t>3.3.</t>
  </si>
  <si>
    <t>3.4.</t>
  </si>
  <si>
    <t>3.5.</t>
  </si>
  <si>
    <t>4.1.</t>
  </si>
  <si>
    <t>4.2.</t>
  </si>
  <si>
    <t>4.3.</t>
  </si>
  <si>
    <t>4.4.</t>
  </si>
  <si>
    <t>4.5.</t>
  </si>
  <si>
    <t>4.6.</t>
  </si>
  <si>
    <t>4.7.</t>
  </si>
  <si>
    <t>4.8.</t>
  </si>
  <si>
    <t>6.1.</t>
  </si>
  <si>
    <t>7.1.</t>
  </si>
  <si>
    <t>7.2.</t>
  </si>
  <si>
    <t>7.3.</t>
  </si>
  <si>
    <t>7.4.</t>
  </si>
  <si>
    <t>7.5.</t>
  </si>
  <si>
    <t>7.6.</t>
  </si>
  <si>
    <t>7.7.</t>
  </si>
  <si>
    <t>7.8.</t>
  </si>
  <si>
    <t>7.9.</t>
  </si>
  <si>
    <t>7.10.</t>
  </si>
  <si>
    <t>7.11.</t>
  </si>
  <si>
    <t>Реализация решения Собрания муниципального образования «Городской округ Ногликский» от 30.05.2013 № 248 «Об утверждении Положения «О мерах социальной поддержки отдельных категорий граждан, проживающих и работающих на территории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</t>
  </si>
  <si>
    <t>Департамент соцполитики/Отдел КСМиСП, ТиКМНС</t>
  </si>
  <si>
    <t>Департамент соцполитики/ Директора учреждений культуры</t>
  </si>
  <si>
    <t>Департамент соцполитики/  Директора учреждений культуры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</si>
  <si>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Вал</t>
  </si>
  <si>
    <t>Департамент соцполитики, Директор МБУК СДК                                                                                                                                                                                                                                                                                                                                                                                                                                                                        с. Ныш</t>
  </si>
  <si>
    <t>5.4.4.</t>
  </si>
  <si>
    <t>«ПРИЛОЖЕНИЕ  3 часть 2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 муниципальной программе                                                                                                                                                                                                                                                                                                                                                                                                                                                                                                             «Развитие культуры в муниципальном образовании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Ногликский»,                                                                                                                                                                                                                                                                                                                                                                                                                                                                                          утвержденной постановлением администрации                                                                                                                                                                                                                                                                                                                                                                                                                                                                                                     муниципального образования                                                                                                                                                                                                                                                                                                                                                                                                                                                                                                                                                                                                                                                                                                             «Городской округ Ноглиский»                                                                                                                                                                                                                                                                                                                                                                                                                                                                                                           от 18.11.2015 № 784</t>
  </si>
  <si>
    <t>Всего по программе 2015-2027 годы</t>
  </si>
  <si>
    <t>Реализация проекта – Модельная библиотека: - внедрение новых информационных технологий на основе лицензионного программного обеспечения, увеличение количества электронных документов в структуре фондов библиотеки; - создание условий для вхождения в единое информационно-коммуникативное пространство, обеспечение доступа населения к ресурсам Сахалинской областной универсальной научной библиотеки имени Б.Н. Ельцина</t>
  </si>
  <si>
    <t>Изготовление сувенирной продукции к юбилейным торжествам, посвященным 85-летию, 90-летию, 95-летию муниципального образования изготовление значков, календарей, подарочных наборов для почетных гостей, ручек с логотипами муниципального образования</t>
  </si>
  <si>
    <t>Поддержка деятельности объединений  мастеров декоративно-прикладного творчества на базе музея. Организация «Круглого стола»</t>
  </si>
  <si>
    <t>ПРИЛОЖЕНИЕ 1
к постановлению администрации 
муниципального образования
«Городской округ Ногликский» 
от 24 июля 2023 года № 471</t>
  </si>
  <si>
    <t xml:space="preserve">ПРИЛОЖЕНИЕ 2
к постановлению администрации 
муниципального образования
«Городской округ Ногликский» 
от 24 июля 2023 года № 471 </t>
  </si>
  <si>
    <t>ПРИЛОЖЕНИЕ 3
к постановлению администрации 
муниципального образования
«Городской округ Ногликский» 
от 24 июля 2023 года № 471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</si>
</sst>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17" x14ac:knownFonts="1">
    <font>
      <sz val="11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3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4"/>
      <name val="Times New Roman"/>
      <family val="1"/>
      <charset val="204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2">
    <xf numFmtId="0" fontId="0" fillId="0" borderId="0" xfId="0"/>
    <xf numFmtId="0" fontId="1" fillId="0" borderId="0" xfId="0" applyFont="1"/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3" fillId="0" borderId="0" xfId="0" applyFont="1" applyAlignment="1">
      <alignment vertical="top" wrapText="1"/>
    </xf>
    <xf numFmtId="0" fontId="3" fillId="0" borderId="0" xfId="0" applyFont="1"/>
    <xf numFmtId="49" fontId="3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/>
    </xf>
    <xf numFmtId="49" fontId="0" fillId="0" borderId="0" xfId="0" applyNumberFormat="1"/>
    <xf numFmtId="0" fontId="0" fillId="0" borderId="0" xfId="0" applyAlignment="1">
      <alignment horizont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49" fontId="3" fillId="2" borderId="2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4" fillId="0" borderId="0" xfId="0" applyFont="1" applyAlignment="1">
      <alignment horizontal="right" vertical="center" wrapText="1"/>
    </xf>
    <xf numFmtId="0" fontId="2" fillId="0" borderId="0" xfId="0" applyFont="1"/>
    <xf numFmtId="0" fontId="2" fillId="0" borderId="2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1" fillId="2" borderId="0" xfId="0" applyFont="1" applyFill="1"/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49" fontId="0" fillId="2" borderId="0" xfId="0" applyNumberFormat="1" applyFill="1"/>
    <xf numFmtId="0" fontId="4" fillId="2" borderId="0" xfId="0" applyFont="1" applyFill="1" applyAlignment="1">
      <alignment vertical="center" wrapText="1"/>
    </xf>
    <xf numFmtId="0" fontId="4" fillId="2" borderId="0" xfId="0" applyFont="1" applyFill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 wrapText="1"/>
    </xf>
    <xf numFmtId="49" fontId="1" fillId="2" borderId="2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/>
    <xf numFmtId="0" fontId="10" fillId="2" borderId="0" xfId="0" applyFont="1" applyFill="1" applyAlignment="1">
      <alignment horizontal="left" vertical="center"/>
    </xf>
    <xf numFmtId="0" fontId="10" fillId="2" borderId="0" xfId="0" applyFont="1" applyFill="1" applyAlignment="1">
      <alignment vertical="center"/>
    </xf>
    <xf numFmtId="0" fontId="11" fillId="2" borderId="0" xfId="0" applyFont="1" applyFill="1" applyAlignment="1">
      <alignment horizontal="center" vertical="center" wrapText="1"/>
    </xf>
    <xf numFmtId="0" fontId="10" fillId="2" borderId="0" xfId="0" applyFont="1" applyFill="1"/>
    <xf numFmtId="0" fontId="10" fillId="2" borderId="0" xfId="0" applyFont="1" applyFill="1" applyAlignment="1">
      <alignment horizontal="center"/>
    </xf>
    <xf numFmtId="0" fontId="10" fillId="2" borderId="0" xfId="0" applyFont="1" applyFill="1" applyAlignment="1">
      <alignment horizontal="center" vertical="center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164" fontId="10" fillId="2" borderId="0" xfId="0" applyNumberFormat="1" applyFont="1" applyFill="1"/>
    <xf numFmtId="164" fontId="11" fillId="2" borderId="5" xfId="0" applyNumberFormat="1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center"/>
    </xf>
    <xf numFmtId="0" fontId="10" fillId="2" borderId="0" xfId="0" applyFont="1" applyFill="1" applyAlignment="1">
      <alignment vertical="center" wrapText="1"/>
    </xf>
    <xf numFmtId="164" fontId="11" fillId="2" borderId="9" xfId="0" applyNumberFormat="1" applyFont="1" applyFill="1" applyBorder="1" applyAlignment="1">
      <alignment horizontal="center" vertical="center" wrapText="1"/>
    </xf>
    <xf numFmtId="2" fontId="10" fillId="2" borderId="0" xfId="0" applyNumberFormat="1" applyFont="1" applyFill="1"/>
    <xf numFmtId="164" fontId="10" fillId="2" borderId="0" xfId="0" applyNumberFormat="1" applyFont="1" applyFill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/>
    </xf>
    <xf numFmtId="0" fontId="10" fillId="2" borderId="2" xfId="0" applyFont="1" applyFill="1" applyBorder="1"/>
    <xf numFmtId="0" fontId="10" fillId="2" borderId="2" xfId="0" applyFont="1" applyFill="1" applyBorder="1" applyAlignment="1">
      <alignment horizontal="center" vertical="center"/>
    </xf>
    <xf numFmtId="164" fontId="10" fillId="2" borderId="2" xfId="0" applyNumberFormat="1" applyFont="1" applyFill="1" applyBorder="1"/>
    <xf numFmtId="165" fontId="10" fillId="2" borderId="2" xfId="0" applyNumberFormat="1" applyFont="1" applyFill="1" applyBorder="1" applyAlignment="1">
      <alignment horizontal="center" vertical="center"/>
    </xf>
    <xf numFmtId="164" fontId="10" fillId="2" borderId="2" xfId="0" applyNumberFormat="1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9" fillId="0" borderId="0" xfId="0" applyFont="1" applyAlignment="1">
      <alignment horizontal="left"/>
    </xf>
    <xf numFmtId="0" fontId="1" fillId="2" borderId="2" xfId="0" applyFont="1" applyFill="1" applyBorder="1" applyAlignment="1">
      <alignment horizontal="right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9" fontId="3" fillId="0" borderId="2" xfId="0" applyNumberFormat="1" applyFont="1" applyBorder="1" applyAlignment="1">
      <alignment horizontal="center" vertical="center"/>
    </xf>
    <xf numFmtId="49" fontId="3" fillId="0" borderId="6" xfId="0" applyNumberFormat="1" applyFont="1" applyBorder="1" applyAlignment="1">
      <alignment horizontal="center" vertical="center"/>
    </xf>
    <xf numFmtId="49" fontId="3" fillId="0" borderId="7" xfId="0" applyNumberFormat="1" applyFont="1" applyBorder="1" applyAlignment="1">
      <alignment horizontal="center" vertical="center"/>
    </xf>
    <xf numFmtId="49" fontId="3" fillId="0" borderId="8" xfId="0" applyNumberFormat="1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49" fontId="1" fillId="0" borderId="6" xfId="0" applyNumberFormat="1" applyFont="1" applyBorder="1" applyAlignment="1">
      <alignment horizontal="center" vertical="center" wrapText="1"/>
    </xf>
    <xf numFmtId="49" fontId="1" fillId="0" borderId="7" xfId="0" applyNumberFormat="1" applyFont="1" applyBorder="1" applyAlignment="1">
      <alignment horizontal="center" vertical="center" wrapText="1"/>
    </xf>
    <xf numFmtId="49" fontId="1" fillId="0" borderId="8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/>
    </xf>
    <xf numFmtId="49" fontId="3" fillId="2" borderId="2" xfId="0" applyNumberFormat="1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49" fontId="1" fillId="2" borderId="6" xfId="0" applyNumberFormat="1" applyFont="1" applyFill="1" applyBorder="1" applyAlignment="1">
      <alignment horizontal="center" vertical="center" wrapText="1"/>
    </xf>
    <xf numFmtId="49" fontId="1" fillId="2" borderId="7" xfId="0" applyNumberFormat="1" applyFont="1" applyFill="1" applyBorder="1" applyAlignment="1">
      <alignment horizontal="center" vertical="center" wrapText="1"/>
    </xf>
    <xf numFmtId="49" fontId="1" fillId="2" borderId="8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/>
    </xf>
    <xf numFmtId="49" fontId="3" fillId="2" borderId="7" xfId="0" applyNumberFormat="1" applyFont="1" applyFill="1" applyBorder="1" applyAlignment="1">
      <alignment horizontal="center" vertical="center"/>
    </xf>
    <xf numFmtId="49" fontId="3" fillId="2" borderId="8" xfId="0" applyNumberFormat="1" applyFont="1" applyFill="1" applyBorder="1" applyAlignment="1">
      <alignment horizontal="center" vertical="center"/>
    </xf>
    <xf numFmtId="0" fontId="4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4" fillId="2" borderId="0" xfId="0" applyFont="1" applyFill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 wrapText="1"/>
    </xf>
    <xf numFmtId="49" fontId="11" fillId="2" borderId="2" xfId="0" applyNumberFormat="1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left" vertical="center" wrapText="1"/>
    </xf>
    <xf numFmtId="0" fontId="11" fillId="2" borderId="0" xfId="0" applyFont="1" applyFill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49" fontId="11" fillId="2" borderId="9" xfId="0" applyNumberFormat="1" applyFont="1" applyFill="1" applyBorder="1" applyAlignment="1">
      <alignment horizontal="center" vertical="center" wrapText="1"/>
    </xf>
    <xf numFmtId="49" fontId="11" fillId="2" borderId="3" xfId="0" applyNumberFormat="1" applyFont="1" applyFill="1" applyBorder="1" applyAlignment="1">
      <alignment horizontal="center" vertical="center" wrapText="1"/>
    </xf>
    <xf numFmtId="49" fontId="11" fillId="2" borderId="5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 wrapText="1"/>
    </xf>
    <xf numFmtId="0" fontId="11" fillId="2" borderId="5" xfId="0" applyFont="1" applyFill="1" applyBorder="1" applyAlignment="1">
      <alignment horizontal="left" vertical="center" wrapText="1"/>
    </xf>
    <xf numFmtId="0" fontId="11" fillId="2" borderId="9" xfId="0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1" fillId="2" borderId="5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top"/>
    </xf>
    <xf numFmtId="0" fontId="11" fillId="2" borderId="10" xfId="0" applyFont="1" applyFill="1" applyBorder="1" applyAlignment="1">
      <alignment horizontal="center" vertical="center"/>
    </xf>
    <xf numFmtId="0" fontId="11" fillId="2" borderId="11" xfId="0" applyFont="1" applyFill="1" applyBorder="1" applyAlignment="1">
      <alignment horizontal="center" vertical="center"/>
    </xf>
    <xf numFmtId="49" fontId="11" fillId="2" borderId="10" xfId="0" applyNumberFormat="1" applyFont="1" applyFill="1" applyBorder="1" applyAlignment="1">
      <alignment horizontal="center" vertical="center" wrapText="1"/>
    </xf>
    <xf numFmtId="49" fontId="11" fillId="2" borderId="4" xfId="0" applyNumberFormat="1" applyFont="1" applyFill="1" applyBorder="1" applyAlignment="1">
      <alignment horizontal="center" vertical="center" wrapText="1"/>
    </xf>
    <xf numFmtId="49" fontId="11" fillId="2" borderId="14" xfId="0" applyNumberFormat="1" applyFont="1" applyFill="1" applyBorder="1" applyAlignment="1">
      <alignment horizontal="center" vertical="center" wrapText="1"/>
    </xf>
    <xf numFmtId="0" fontId="11" fillId="2" borderId="9" xfId="0" applyFont="1" applyFill="1" applyBorder="1" applyAlignment="1">
      <alignment vertical="center" wrapText="1"/>
    </xf>
    <xf numFmtId="0" fontId="11" fillId="2" borderId="3" xfId="0" applyFont="1" applyFill="1" applyBorder="1" applyAlignment="1">
      <alignment vertical="center" wrapText="1"/>
    </xf>
    <xf numFmtId="0" fontId="11" fillId="2" borderId="5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horizontal="center" vertical="center" wrapText="1"/>
    </xf>
    <xf numFmtId="0" fontId="12" fillId="2" borderId="11" xfId="0" applyFont="1" applyFill="1" applyBorder="1" applyAlignment="1">
      <alignment horizontal="center" vertical="center" wrapText="1"/>
    </xf>
    <xf numFmtId="0" fontId="12" fillId="2" borderId="12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center" vertical="center" wrapText="1"/>
    </xf>
    <xf numFmtId="0" fontId="12" fillId="2" borderId="13" xfId="0" applyFont="1" applyFill="1" applyBorder="1" applyAlignment="1">
      <alignment horizontal="center" vertical="center" wrapText="1"/>
    </xf>
    <xf numFmtId="0" fontId="12" fillId="2" borderId="14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5" xfId="0" applyFont="1" applyFill="1" applyBorder="1" applyAlignment="1">
      <alignment horizontal="center" vertical="center" wrapText="1"/>
    </xf>
    <xf numFmtId="0" fontId="11" fillId="2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 vertical="center" wrapText="1"/>
    </xf>
    <xf numFmtId="0" fontId="11" fillId="2" borderId="11" xfId="0" applyFont="1" applyFill="1" applyBorder="1" applyAlignment="1">
      <alignment horizontal="center" vertical="center" wrapText="1"/>
    </xf>
    <xf numFmtId="0" fontId="11" fillId="2" borderId="12" xfId="0" applyFont="1" applyFill="1" applyBorder="1" applyAlignment="1">
      <alignment horizontal="center" vertical="center" wrapText="1"/>
    </xf>
    <xf numFmtId="0" fontId="11" fillId="2" borderId="4" xfId="0" applyFont="1" applyFill="1" applyBorder="1" applyAlignment="1">
      <alignment horizontal="center" vertical="center" wrapText="1"/>
    </xf>
    <xf numFmtId="0" fontId="11" fillId="2" borderId="0" xfId="0" applyFont="1" applyFill="1" applyAlignment="1">
      <alignment horizontal="center" vertical="center" wrapText="1"/>
    </xf>
    <xf numFmtId="0" fontId="11" fillId="2" borderId="13" xfId="0" applyFont="1" applyFill="1" applyBorder="1" applyAlignment="1">
      <alignment horizontal="center" vertical="center" wrapText="1"/>
    </xf>
    <xf numFmtId="0" fontId="11" fillId="2" borderId="14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2" borderId="15" xfId="0" applyFont="1" applyFill="1" applyBorder="1" applyAlignment="1">
      <alignment horizontal="center" vertical="center" wrapText="1"/>
    </xf>
    <xf numFmtId="0" fontId="11" fillId="2" borderId="6" xfId="0" applyFont="1" applyFill="1" applyBorder="1" applyAlignment="1">
      <alignment horizontal="center"/>
    </xf>
    <xf numFmtId="0" fontId="11" fillId="2" borderId="7" xfId="0" applyFont="1" applyFill="1" applyBorder="1" applyAlignment="1">
      <alignment horizontal="center"/>
    </xf>
    <xf numFmtId="0" fontId="11" fillId="2" borderId="10" xfId="0" applyFont="1" applyFill="1" applyBorder="1" applyAlignment="1">
      <alignment horizontal="center"/>
    </xf>
    <xf numFmtId="0" fontId="11" fillId="2" borderId="11" xfId="0" applyFont="1" applyFill="1" applyBorder="1" applyAlignment="1">
      <alignment horizontal="center"/>
    </xf>
    <xf numFmtId="0" fontId="11" fillId="2" borderId="9" xfId="0" applyFont="1" applyFill="1" applyBorder="1" applyAlignment="1">
      <alignment horizontal="center" vertical="top" wrapText="1"/>
    </xf>
    <xf numFmtId="0" fontId="11" fillId="2" borderId="3" xfId="0" applyFont="1" applyFill="1" applyBorder="1" applyAlignment="1">
      <alignment horizontal="center" vertical="top" wrapText="1"/>
    </xf>
    <xf numFmtId="0" fontId="11" fillId="2" borderId="5" xfId="0" applyFont="1" applyFill="1" applyBorder="1" applyAlignment="1">
      <alignment horizontal="center" vertical="top" wrapText="1"/>
    </xf>
    <xf numFmtId="0" fontId="11" fillId="2" borderId="10" xfId="0" applyFont="1" applyFill="1" applyBorder="1" applyAlignment="1">
      <alignment horizontal="center" vertical="top" wrapText="1"/>
    </xf>
    <xf numFmtId="0" fontId="11" fillId="2" borderId="1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70</xdr:row>
      <xdr:rowOff>238125</xdr:rowOff>
    </xdr:from>
    <xdr:to>
      <xdr:col>1</xdr:col>
      <xdr:colOff>0</xdr:colOff>
      <xdr:row>71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CE41D181-4605-47D7-881D-4F88D7F3BDBE}"/>
            </a:ext>
          </a:extLst>
        </xdr:cNvPr>
        <xdr:cNvCxnSpPr/>
      </xdr:nvCxnSpPr>
      <xdr:spPr>
        <a:xfrm flipH="1">
          <a:off x="390525" y="37509450"/>
          <a:ext cx="9525" cy="933450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70</xdr:row>
      <xdr:rowOff>228600</xdr:rowOff>
    </xdr:from>
    <xdr:to>
      <xdr:col>2</xdr:col>
      <xdr:colOff>0</xdr:colOff>
      <xdr:row>71</xdr:row>
      <xdr:rowOff>19050</xdr:rowOff>
    </xdr:to>
    <xdr:cxnSp macro="">
      <xdr:nvCxnSpPr>
        <xdr:cNvPr id="5" name="Прямая соединительная линия 4">
          <a:extLst>
            <a:ext uri="{FF2B5EF4-FFF2-40B4-BE49-F238E27FC236}">
              <a16:creationId xmlns:a16="http://schemas.microsoft.com/office/drawing/2014/main" xmlns="" id="{D5C61483-297E-4909-916C-19B4C33B2A8B}"/>
            </a:ext>
          </a:extLst>
        </xdr:cNvPr>
        <xdr:cNvCxnSpPr/>
      </xdr:nvCxnSpPr>
      <xdr:spPr>
        <a:xfrm>
          <a:off x="2695575" y="37499925"/>
          <a:ext cx="0" cy="942975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390525</xdr:colOff>
      <xdr:row>68</xdr:row>
      <xdr:rowOff>238125</xdr:rowOff>
    </xdr:from>
    <xdr:to>
      <xdr:col>1</xdr:col>
      <xdr:colOff>0</xdr:colOff>
      <xdr:row>72</xdr:row>
      <xdr:rowOff>19050</xdr:rowOff>
    </xdr:to>
    <xdr:cxnSp macro="">
      <xdr:nvCxnSpPr>
        <xdr:cNvPr id="2" name="Прямая соединительная линия 1">
          <a:extLst>
            <a:ext uri="{FF2B5EF4-FFF2-40B4-BE49-F238E27FC236}">
              <a16:creationId xmlns:a16="http://schemas.microsoft.com/office/drawing/2014/main" xmlns="" id="{B1CC79DB-FF0D-4838-B973-29A93AFBC627}"/>
            </a:ext>
          </a:extLst>
        </xdr:cNvPr>
        <xdr:cNvCxnSpPr/>
      </xdr:nvCxnSpPr>
      <xdr:spPr>
        <a:xfrm flipH="1">
          <a:off x="390525" y="38871525"/>
          <a:ext cx="9525" cy="2857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2</xdr:col>
      <xdr:colOff>0</xdr:colOff>
      <xdr:row>68</xdr:row>
      <xdr:rowOff>228600</xdr:rowOff>
    </xdr:from>
    <xdr:to>
      <xdr:col>2</xdr:col>
      <xdr:colOff>0</xdr:colOff>
      <xdr:row>72</xdr:row>
      <xdr:rowOff>19050</xdr:rowOff>
    </xdr:to>
    <xdr:cxnSp macro="">
      <xdr:nvCxnSpPr>
        <xdr:cNvPr id="3" name="Прямая соединительная линия 2">
          <a:extLst>
            <a:ext uri="{FF2B5EF4-FFF2-40B4-BE49-F238E27FC236}">
              <a16:creationId xmlns:a16="http://schemas.microsoft.com/office/drawing/2014/main" xmlns="" id="{66DC4DBB-2FBB-4237-BE8F-237AE2E881DC}"/>
            </a:ext>
          </a:extLst>
        </xdr:cNvPr>
        <xdr:cNvCxnSpPr/>
      </xdr:nvCxnSpPr>
      <xdr:spPr>
        <a:xfrm>
          <a:off x="2695575" y="38862000"/>
          <a:ext cx="0" cy="38100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C16"/>
  <sheetViews>
    <sheetView view="pageBreakPreview" zoomScale="130" zoomScaleNormal="100" zoomScaleSheetLayoutView="130" workbookViewId="0">
      <selection activeCell="K1" sqref="K1:Q1"/>
    </sheetView>
  </sheetViews>
  <sheetFormatPr defaultRowHeight="15" x14ac:dyDescent="0.25"/>
  <cols>
    <col min="2" max="2" width="27.85546875" customWidth="1"/>
    <col min="5" max="17" width="11.140625" customWidth="1"/>
    <col min="18" max="18" width="2.42578125" customWidth="1"/>
  </cols>
  <sheetData>
    <row r="1" spans="1:29" ht="97.5" customHeight="1" x14ac:dyDescent="0.25">
      <c r="A1" s="1"/>
      <c r="B1" s="1"/>
      <c r="C1" s="1"/>
      <c r="D1" s="1"/>
      <c r="E1" s="1"/>
      <c r="F1" s="1"/>
      <c r="G1" s="18"/>
      <c r="H1" s="18"/>
      <c r="I1" s="13"/>
      <c r="J1" s="13"/>
      <c r="K1" s="65" t="s">
        <v>517</v>
      </c>
      <c r="L1" s="65"/>
      <c r="M1" s="65"/>
      <c r="N1" s="65"/>
      <c r="O1" s="65"/>
      <c r="P1" s="65"/>
      <c r="Q1" s="65"/>
      <c r="R1" s="4"/>
      <c r="S1" s="4"/>
      <c r="T1" s="4"/>
      <c r="U1" s="4"/>
      <c r="V1" s="4"/>
      <c r="W1" s="1"/>
      <c r="X1" s="1"/>
      <c r="Y1" s="1"/>
      <c r="AC1" s="4"/>
    </row>
    <row r="2" spans="1:29" ht="143.25" customHeight="1" x14ac:dyDescent="0.25">
      <c r="A2" s="1"/>
      <c r="B2" s="1"/>
      <c r="C2" s="1"/>
      <c r="D2" s="1"/>
      <c r="E2" s="1"/>
      <c r="F2" s="1"/>
      <c r="G2" s="18"/>
      <c r="H2" s="18"/>
      <c r="I2" s="13"/>
      <c r="J2" s="13"/>
      <c r="K2" s="65" t="s">
        <v>438</v>
      </c>
      <c r="L2" s="65"/>
      <c r="M2" s="65"/>
      <c r="N2" s="65"/>
      <c r="O2" s="65"/>
      <c r="P2" s="65"/>
      <c r="Q2" s="65"/>
      <c r="R2" s="1"/>
      <c r="S2" s="1"/>
      <c r="T2" s="1"/>
      <c r="U2" s="1"/>
      <c r="V2" s="1"/>
      <c r="W2" s="1"/>
      <c r="X2" s="1"/>
      <c r="Y2" s="1"/>
      <c r="AC2" s="1"/>
    </row>
    <row r="3" spans="1:29" ht="15.75" x14ac:dyDescent="0.25">
      <c r="A3" s="66" t="s">
        <v>326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66"/>
      <c r="M3" s="66"/>
      <c r="N3" s="66"/>
      <c r="O3" s="66"/>
      <c r="P3" s="66"/>
      <c r="Q3" s="66"/>
    </row>
    <row r="4" spans="1:29" ht="16.5" x14ac:dyDescent="0.25">
      <c r="A4" s="67" t="s">
        <v>327</v>
      </c>
      <c r="B4" s="67"/>
      <c r="C4" s="67"/>
      <c r="D4" s="67"/>
      <c r="E4" s="67"/>
      <c r="F4" s="67"/>
      <c r="G4" s="67"/>
      <c r="H4" s="67"/>
      <c r="I4" s="67"/>
      <c r="J4" s="67"/>
      <c r="K4" s="67"/>
      <c r="L4" s="67"/>
      <c r="M4" s="67"/>
      <c r="N4" s="67"/>
      <c r="O4" s="67"/>
      <c r="P4" s="67"/>
      <c r="Q4" s="67"/>
    </row>
    <row r="5" spans="1:29" ht="18.75" x14ac:dyDescent="0.3">
      <c r="A5" s="68" t="s">
        <v>435</v>
      </c>
      <c r="B5" s="68"/>
      <c r="C5" s="68"/>
      <c r="D5" s="68"/>
      <c r="E5" s="68"/>
      <c r="F5" s="68"/>
      <c r="G5" s="68"/>
      <c r="H5" s="68"/>
      <c r="I5" s="68"/>
      <c r="J5" s="68"/>
      <c r="K5" s="68"/>
      <c r="L5" s="68"/>
      <c r="M5" s="68"/>
      <c r="N5" s="68"/>
      <c r="O5" s="68"/>
      <c r="P5" s="68"/>
      <c r="Q5" s="68"/>
    </row>
    <row r="6" spans="1:29" ht="15.75" x14ac:dyDescent="0.25">
      <c r="A6" s="1"/>
      <c r="B6" s="1"/>
      <c r="C6" s="1"/>
      <c r="D6" s="19"/>
      <c r="E6" s="19"/>
      <c r="F6" s="19"/>
      <c r="G6" s="19"/>
      <c r="H6" s="19"/>
      <c r="I6" s="19"/>
      <c r="J6" s="19"/>
      <c r="K6" s="19"/>
      <c r="L6" s="19"/>
      <c r="M6" s="1"/>
      <c r="N6" s="1"/>
      <c r="O6" s="1"/>
      <c r="P6" s="1"/>
      <c r="Q6" s="1"/>
    </row>
    <row r="7" spans="1:29" ht="23.25" customHeight="1" x14ac:dyDescent="0.25">
      <c r="A7" s="72" t="s">
        <v>356</v>
      </c>
      <c r="B7" s="74" t="s">
        <v>355</v>
      </c>
      <c r="C7" s="74" t="s">
        <v>358</v>
      </c>
      <c r="D7" s="76" t="s">
        <v>328</v>
      </c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8"/>
    </row>
    <row r="8" spans="1:29" ht="53.25" customHeight="1" x14ac:dyDescent="0.25">
      <c r="A8" s="73"/>
      <c r="B8" s="75"/>
      <c r="C8" s="75"/>
      <c r="D8" s="20" t="s">
        <v>357</v>
      </c>
      <c r="E8" s="20" t="s">
        <v>329</v>
      </c>
      <c r="F8" s="20" t="s">
        <v>330</v>
      </c>
      <c r="G8" s="20" t="s">
        <v>331</v>
      </c>
      <c r="H8" s="20" t="s">
        <v>332</v>
      </c>
      <c r="I8" s="20" t="s">
        <v>333</v>
      </c>
      <c r="J8" s="20" t="s">
        <v>334</v>
      </c>
      <c r="K8" s="20" t="s">
        <v>335</v>
      </c>
      <c r="L8" s="20" t="s">
        <v>336</v>
      </c>
      <c r="M8" s="20" t="s">
        <v>337</v>
      </c>
      <c r="N8" s="20" t="s">
        <v>338</v>
      </c>
      <c r="O8" s="20" t="s">
        <v>339</v>
      </c>
      <c r="P8" s="20" t="s">
        <v>431</v>
      </c>
      <c r="Q8" s="20" t="s">
        <v>432</v>
      </c>
      <c r="R8" s="3"/>
      <c r="S8" s="3"/>
      <c r="T8" s="3"/>
      <c r="U8" s="3"/>
      <c r="V8" s="3"/>
      <c r="W8" s="3"/>
      <c r="X8" s="3"/>
      <c r="Y8" s="3"/>
      <c r="AC8" s="3"/>
    </row>
    <row r="9" spans="1:29" ht="15.75" x14ac:dyDescent="0.25">
      <c r="A9" s="20">
        <v>1</v>
      </c>
      <c r="B9" s="20">
        <v>2</v>
      </c>
      <c r="C9" s="20">
        <v>3</v>
      </c>
      <c r="D9" s="20">
        <v>4</v>
      </c>
      <c r="E9" s="20">
        <v>5</v>
      </c>
      <c r="F9" s="20">
        <v>6</v>
      </c>
      <c r="G9" s="20">
        <v>7</v>
      </c>
      <c r="H9" s="20">
        <v>8</v>
      </c>
      <c r="I9" s="20">
        <v>9</v>
      </c>
      <c r="J9" s="20">
        <v>10</v>
      </c>
      <c r="K9" s="20">
        <v>11</v>
      </c>
      <c r="L9" s="20">
        <v>12</v>
      </c>
      <c r="M9" s="20">
        <v>13</v>
      </c>
      <c r="N9" s="20">
        <v>14</v>
      </c>
      <c r="O9" s="20">
        <v>15</v>
      </c>
      <c r="P9" s="20">
        <v>15</v>
      </c>
      <c r="Q9" s="20">
        <v>15</v>
      </c>
      <c r="R9" s="3"/>
      <c r="S9" s="3"/>
      <c r="T9" s="3"/>
      <c r="U9" s="3"/>
      <c r="V9" s="3"/>
      <c r="W9" s="3"/>
      <c r="X9" s="3"/>
      <c r="Y9" s="3"/>
      <c r="AC9" s="3"/>
    </row>
    <row r="10" spans="1:29" ht="12.75" customHeight="1" x14ac:dyDescent="0.25">
      <c r="A10" s="69"/>
      <c r="B10" s="70"/>
      <c r="C10" s="70"/>
      <c r="D10" s="70"/>
      <c r="E10" s="70"/>
      <c r="F10" s="70"/>
      <c r="G10" s="70"/>
      <c r="H10" s="70"/>
      <c r="I10" s="70"/>
      <c r="J10" s="70"/>
      <c r="K10" s="70"/>
      <c r="L10" s="70"/>
      <c r="M10" s="70"/>
      <c r="N10" s="70"/>
      <c r="O10" s="70"/>
      <c r="P10" s="70"/>
      <c r="Q10" s="71"/>
      <c r="R10" s="3"/>
      <c r="S10" s="3"/>
      <c r="T10" s="3"/>
      <c r="U10" s="3"/>
      <c r="V10" s="3"/>
      <c r="W10" s="3"/>
      <c r="X10" s="3"/>
      <c r="Y10" s="3"/>
      <c r="AC10" s="3"/>
    </row>
    <row r="11" spans="1:29" ht="83.25" customHeight="1" x14ac:dyDescent="0.25">
      <c r="A11" s="21" t="s">
        <v>340</v>
      </c>
      <c r="B11" s="24" t="s">
        <v>341</v>
      </c>
      <c r="C11" s="21" t="s">
        <v>342</v>
      </c>
      <c r="D11" s="21">
        <v>15.6</v>
      </c>
      <c r="E11" s="21">
        <v>15.7</v>
      </c>
      <c r="F11" s="21">
        <v>15.8</v>
      </c>
      <c r="G11" s="21">
        <v>15.9</v>
      </c>
      <c r="H11" s="21">
        <v>16</v>
      </c>
      <c r="I11" s="21">
        <v>16.100000000000001</v>
      </c>
      <c r="J11" s="21">
        <v>16.2</v>
      </c>
      <c r="K11" s="22">
        <v>19.600000000000001</v>
      </c>
      <c r="L11" s="22">
        <v>0</v>
      </c>
      <c r="M11" s="22">
        <v>0</v>
      </c>
      <c r="N11" s="22">
        <v>0</v>
      </c>
      <c r="O11" s="22">
        <v>0</v>
      </c>
      <c r="P11" s="22">
        <v>0</v>
      </c>
      <c r="Q11" s="22">
        <v>0</v>
      </c>
    </row>
    <row r="12" spans="1:29" ht="96.75" customHeight="1" x14ac:dyDescent="0.25">
      <c r="A12" s="21" t="s">
        <v>343</v>
      </c>
      <c r="B12" s="24" t="s">
        <v>344</v>
      </c>
      <c r="C12" s="21" t="s">
        <v>342</v>
      </c>
      <c r="D12" s="21">
        <v>13.1</v>
      </c>
      <c r="E12" s="21">
        <v>13.2</v>
      </c>
      <c r="F12" s="21">
        <v>13.3</v>
      </c>
      <c r="G12" s="21">
        <v>13.4</v>
      </c>
      <c r="H12" s="21">
        <v>13.5</v>
      </c>
      <c r="I12" s="21">
        <v>13.6</v>
      </c>
      <c r="J12" s="21">
        <v>13.7</v>
      </c>
      <c r="K12" s="22">
        <v>35</v>
      </c>
      <c r="L12" s="22">
        <v>35.5</v>
      </c>
      <c r="M12" s="22">
        <v>35.799999999999997</v>
      </c>
      <c r="N12" s="22">
        <v>35.9</v>
      </c>
      <c r="O12" s="22">
        <v>36</v>
      </c>
      <c r="P12" s="22">
        <v>36</v>
      </c>
      <c r="Q12" s="22">
        <v>36</v>
      </c>
      <c r="R12" s="4"/>
      <c r="S12" s="4"/>
      <c r="T12" s="4"/>
      <c r="U12" s="4"/>
      <c r="V12" s="4"/>
      <c r="W12" s="1"/>
      <c r="X12" s="1"/>
      <c r="Y12" s="1"/>
      <c r="AC12" s="4"/>
    </row>
    <row r="13" spans="1:29" ht="32.25" customHeight="1" x14ac:dyDescent="0.25">
      <c r="A13" s="21" t="s">
        <v>345</v>
      </c>
      <c r="B13" s="24" t="s">
        <v>346</v>
      </c>
      <c r="C13" s="21" t="s">
        <v>347</v>
      </c>
      <c r="D13" s="21">
        <v>36</v>
      </c>
      <c r="E13" s="21">
        <v>37</v>
      </c>
      <c r="F13" s="21">
        <v>38</v>
      </c>
      <c r="G13" s="21">
        <v>39</v>
      </c>
      <c r="H13" s="21">
        <v>39</v>
      </c>
      <c r="I13" s="21">
        <v>39</v>
      </c>
      <c r="J13" s="21">
        <v>39</v>
      </c>
      <c r="K13" s="22">
        <v>35</v>
      </c>
      <c r="L13" s="22">
        <v>35</v>
      </c>
      <c r="M13" s="22">
        <v>35</v>
      </c>
      <c r="N13" s="22">
        <v>36</v>
      </c>
      <c r="O13" s="22">
        <v>36</v>
      </c>
      <c r="P13" s="22">
        <v>36</v>
      </c>
      <c r="Q13" s="22">
        <v>36</v>
      </c>
      <c r="R13" s="1"/>
      <c r="S13" s="1"/>
      <c r="T13" s="1"/>
      <c r="U13" s="1"/>
      <c r="V13" s="1"/>
      <c r="W13" s="1"/>
      <c r="X13" s="1"/>
      <c r="Y13" s="1"/>
      <c r="AC13" s="1"/>
    </row>
    <row r="14" spans="1:29" ht="78.75" x14ac:dyDescent="0.25">
      <c r="A14" s="21" t="s">
        <v>348</v>
      </c>
      <c r="B14" s="24" t="s">
        <v>349</v>
      </c>
      <c r="C14" s="21" t="s">
        <v>350</v>
      </c>
      <c r="D14" s="21">
        <v>155</v>
      </c>
      <c r="E14" s="21">
        <v>156</v>
      </c>
      <c r="F14" s="21">
        <v>157</v>
      </c>
      <c r="G14" s="21">
        <v>158</v>
      </c>
      <c r="H14" s="21">
        <v>159</v>
      </c>
      <c r="I14" s="21">
        <v>160</v>
      </c>
      <c r="J14" s="21">
        <v>161</v>
      </c>
      <c r="K14" s="22">
        <v>170</v>
      </c>
      <c r="L14" s="22">
        <v>172</v>
      </c>
      <c r="M14" s="22">
        <v>175</v>
      </c>
      <c r="N14" s="22">
        <v>178</v>
      </c>
      <c r="O14" s="23">
        <v>180</v>
      </c>
      <c r="P14" s="23">
        <v>180</v>
      </c>
      <c r="Q14" s="23">
        <v>180</v>
      </c>
      <c r="R14" s="1"/>
      <c r="S14" s="1"/>
      <c r="T14" s="1"/>
      <c r="U14" s="1"/>
      <c r="V14" s="1"/>
      <c r="W14" s="1"/>
      <c r="X14" s="1"/>
      <c r="Y14" s="1"/>
      <c r="AC14" s="1"/>
    </row>
    <row r="15" spans="1:29" ht="77.25" customHeight="1" x14ac:dyDescent="0.25">
      <c r="A15" s="21" t="s">
        <v>351</v>
      </c>
      <c r="B15" s="24" t="s">
        <v>352</v>
      </c>
      <c r="C15" s="21" t="s">
        <v>342</v>
      </c>
      <c r="D15" s="21">
        <v>61.3</v>
      </c>
      <c r="E15" s="21">
        <v>61.4</v>
      </c>
      <c r="F15" s="21">
        <v>61.5</v>
      </c>
      <c r="G15" s="21">
        <v>61.6</v>
      </c>
      <c r="H15" s="21">
        <v>61.7</v>
      </c>
      <c r="I15" s="21">
        <v>61.8</v>
      </c>
      <c r="J15" s="21">
        <v>61.9</v>
      </c>
      <c r="K15" s="22">
        <v>70</v>
      </c>
      <c r="L15" s="22">
        <v>70.099999999999994</v>
      </c>
      <c r="M15" s="22">
        <v>70.2</v>
      </c>
      <c r="N15" s="22">
        <v>70.3</v>
      </c>
      <c r="O15" s="22">
        <v>70.400000000000006</v>
      </c>
      <c r="P15" s="22">
        <v>70.400000000000006</v>
      </c>
      <c r="Q15" s="22">
        <v>70.400000000000006</v>
      </c>
    </row>
    <row r="16" spans="1:29" ht="39" customHeight="1" x14ac:dyDescent="0.25">
      <c r="A16" s="21" t="s">
        <v>353</v>
      </c>
      <c r="B16" s="24" t="s">
        <v>354</v>
      </c>
      <c r="C16" s="21" t="s">
        <v>433</v>
      </c>
      <c r="D16" s="21">
        <v>0</v>
      </c>
      <c r="E16" s="21">
        <v>0</v>
      </c>
      <c r="F16" s="21">
        <v>0</v>
      </c>
      <c r="G16" s="21">
        <v>0</v>
      </c>
      <c r="H16" s="21">
        <v>0</v>
      </c>
      <c r="I16" s="21">
        <v>0</v>
      </c>
      <c r="J16" s="21">
        <v>0</v>
      </c>
      <c r="K16" s="22">
        <v>0</v>
      </c>
      <c r="L16" s="22">
        <v>155700</v>
      </c>
      <c r="M16" s="22">
        <v>155800</v>
      </c>
      <c r="N16" s="22">
        <v>155900</v>
      </c>
      <c r="O16" s="22">
        <v>156000</v>
      </c>
      <c r="P16" s="22">
        <v>156000</v>
      </c>
      <c r="Q16" s="22">
        <v>156000</v>
      </c>
      <c r="R16" t="s">
        <v>436</v>
      </c>
    </row>
  </sheetData>
  <mergeCells count="10">
    <mergeCell ref="A10:Q10"/>
    <mergeCell ref="A7:A8"/>
    <mergeCell ref="B7:B8"/>
    <mergeCell ref="C7:C8"/>
    <mergeCell ref="D7:Q7"/>
    <mergeCell ref="K1:Q1"/>
    <mergeCell ref="K2:Q2"/>
    <mergeCell ref="A3:Q3"/>
    <mergeCell ref="A4:Q4"/>
    <mergeCell ref="A5:Q5"/>
  </mergeCells>
  <pageMargins left="0.70866141732283472" right="0.70866141732283472" top="0.74803149606299213" bottom="0.35433070866141736" header="0" footer="0"/>
  <pageSetup paperSize="9" scale="64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9"/>
  <sheetViews>
    <sheetView view="pageBreakPreview" topLeftCell="A16" zoomScale="180" zoomScaleSheetLayoutView="180" workbookViewId="0">
      <selection activeCell="B96" sqref="B96"/>
    </sheetView>
  </sheetViews>
  <sheetFormatPr defaultRowHeight="15" x14ac:dyDescent="0.25"/>
  <cols>
    <col min="1" max="1" width="6.7109375" customWidth="1"/>
    <col min="2" max="2" width="55.7109375" style="17" customWidth="1"/>
    <col min="3" max="3" width="23.7109375" customWidth="1"/>
    <col min="4" max="5" width="10.7109375" customWidth="1"/>
    <col min="6" max="6" width="30.7109375" customWidth="1"/>
    <col min="7" max="7" width="2.7109375" customWidth="1"/>
  </cols>
  <sheetData>
    <row r="1" spans="1:18" ht="108" customHeight="1" x14ac:dyDescent="0.25">
      <c r="A1" s="1"/>
      <c r="B1" s="25"/>
      <c r="C1" s="13"/>
      <c r="D1" s="65" t="s">
        <v>417</v>
      </c>
      <c r="E1" s="65"/>
      <c r="F1" s="65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1"/>
      <c r="B2" s="25"/>
      <c r="C2" s="13"/>
      <c r="D2" s="14"/>
      <c r="E2" s="14"/>
      <c r="F2" s="14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1"/>
      <c r="B3" s="25"/>
      <c r="D3" s="91" t="s">
        <v>418</v>
      </c>
      <c r="E3" s="91"/>
      <c r="F3" s="91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1"/>
      <c r="B4" s="25"/>
      <c r="C4" s="1"/>
      <c r="D4" s="1"/>
      <c r="E4" s="1"/>
      <c r="F4" s="1"/>
      <c r="G4" s="1"/>
    </row>
    <row r="5" spans="1:18" x14ac:dyDescent="0.25">
      <c r="A5" s="5"/>
      <c r="B5" s="89" t="s">
        <v>2</v>
      </c>
      <c r="C5" s="89"/>
      <c r="D5" s="89"/>
      <c r="E5" s="89"/>
      <c r="F5" s="89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5"/>
      <c r="B6" s="89" t="s">
        <v>238</v>
      </c>
      <c r="C6" s="89"/>
      <c r="D6" s="89"/>
      <c r="E6" s="89"/>
      <c r="F6" s="89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5"/>
      <c r="B7" s="26"/>
      <c r="C7" s="5"/>
      <c r="D7" s="5"/>
      <c r="E7" s="5"/>
      <c r="F7" s="5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" t="s">
        <v>419</v>
      </c>
      <c r="B8" s="27" t="s">
        <v>1</v>
      </c>
      <c r="C8" s="2" t="s">
        <v>4</v>
      </c>
      <c r="D8" s="90" t="s">
        <v>5</v>
      </c>
      <c r="E8" s="90"/>
      <c r="F8" s="72" t="s">
        <v>6</v>
      </c>
      <c r="G8" s="1"/>
    </row>
    <row r="9" spans="1:18" ht="34.5" customHeight="1" x14ac:dyDescent="0.25">
      <c r="A9" s="2" t="s">
        <v>0</v>
      </c>
      <c r="B9" s="27" t="s">
        <v>3</v>
      </c>
      <c r="C9" s="2" t="s">
        <v>240</v>
      </c>
      <c r="D9" s="2" t="s">
        <v>7</v>
      </c>
      <c r="E9" s="2" t="s">
        <v>8</v>
      </c>
      <c r="F9" s="73"/>
      <c r="G9" s="1"/>
    </row>
    <row r="10" spans="1:18" x14ac:dyDescent="0.25">
      <c r="A10" s="2">
        <v>1</v>
      </c>
      <c r="B10" s="27">
        <v>2</v>
      </c>
      <c r="C10" s="2">
        <v>3</v>
      </c>
      <c r="D10" s="2">
        <v>4</v>
      </c>
      <c r="E10" s="2">
        <v>5</v>
      </c>
      <c r="F10" s="2">
        <v>6</v>
      </c>
      <c r="G10" s="1"/>
    </row>
    <row r="11" spans="1:18" ht="15" customHeight="1" x14ac:dyDescent="0.25">
      <c r="A11" s="83" t="s">
        <v>40</v>
      </c>
      <c r="B11" s="84"/>
      <c r="C11" s="84"/>
      <c r="D11" s="84"/>
      <c r="E11" s="84"/>
      <c r="F11" s="85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87" customHeight="1" x14ac:dyDescent="0.25">
      <c r="A12" s="8" t="s">
        <v>110</v>
      </c>
      <c r="B12" s="16" t="s">
        <v>262</v>
      </c>
      <c r="C12" s="8" t="s">
        <v>225</v>
      </c>
      <c r="D12" s="8">
        <v>2015</v>
      </c>
      <c r="E12" s="9" t="s">
        <v>219</v>
      </c>
      <c r="F12" s="8" t="s">
        <v>26</v>
      </c>
      <c r="G12" s="1"/>
    </row>
    <row r="13" spans="1:18" ht="50.1" customHeight="1" x14ac:dyDescent="0.25">
      <c r="A13" s="8" t="s">
        <v>111</v>
      </c>
      <c r="B13" s="16" t="s">
        <v>420</v>
      </c>
      <c r="C13" s="8" t="s">
        <v>225</v>
      </c>
      <c r="D13" s="8" t="s">
        <v>194</v>
      </c>
      <c r="E13" s="9" t="s">
        <v>219</v>
      </c>
      <c r="F13" s="8" t="s">
        <v>27</v>
      </c>
      <c r="G13" s="1"/>
    </row>
    <row r="14" spans="1:18" ht="50.1" customHeight="1" x14ac:dyDescent="0.25">
      <c r="A14" s="8" t="s">
        <v>112</v>
      </c>
      <c r="B14" s="16" t="s">
        <v>15</v>
      </c>
      <c r="C14" s="8" t="s">
        <v>225</v>
      </c>
      <c r="D14" s="8">
        <v>2015</v>
      </c>
      <c r="E14" s="9" t="s">
        <v>219</v>
      </c>
      <c r="F14" s="8" t="s">
        <v>27</v>
      </c>
      <c r="G14" s="1"/>
    </row>
    <row r="15" spans="1:18" ht="50.1" customHeight="1" x14ac:dyDescent="0.25">
      <c r="A15" s="8" t="s">
        <v>113</v>
      </c>
      <c r="B15" s="16" t="s">
        <v>16</v>
      </c>
      <c r="C15" s="8" t="s">
        <v>225</v>
      </c>
      <c r="D15" s="8">
        <v>2015</v>
      </c>
      <c r="E15" s="9" t="s">
        <v>219</v>
      </c>
      <c r="F15" s="8" t="s">
        <v>28</v>
      </c>
      <c r="G15" s="1"/>
    </row>
    <row r="16" spans="1:18" ht="50.1" customHeight="1" x14ac:dyDescent="0.25">
      <c r="A16" s="8" t="s">
        <v>114</v>
      </c>
      <c r="B16" s="16" t="s">
        <v>319</v>
      </c>
      <c r="C16" s="8" t="s">
        <v>225</v>
      </c>
      <c r="D16" s="8">
        <v>2015</v>
      </c>
      <c r="E16" s="9" t="s">
        <v>219</v>
      </c>
      <c r="F16" s="8" t="s">
        <v>29</v>
      </c>
      <c r="G16" s="1"/>
    </row>
    <row r="17" spans="1:7" ht="50.1" customHeight="1" x14ac:dyDescent="0.25">
      <c r="A17" s="8" t="s">
        <v>115</v>
      </c>
      <c r="B17" s="16" t="s">
        <v>17</v>
      </c>
      <c r="C17" s="8" t="s">
        <v>225</v>
      </c>
      <c r="D17" s="8">
        <v>2015</v>
      </c>
      <c r="E17" s="9" t="s">
        <v>219</v>
      </c>
      <c r="F17" s="8" t="s">
        <v>199</v>
      </c>
      <c r="G17" s="1"/>
    </row>
    <row r="18" spans="1:7" ht="50.1" customHeight="1" x14ac:dyDescent="0.25">
      <c r="A18" s="8" t="s">
        <v>116</v>
      </c>
      <c r="B18" s="16" t="s">
        <v>18</v>
      </c>
      <c r="C18" s="8" t="s">
        <v>225</v>
      </c>
      <c r="D18" s="8" t="s">
        <v>194</v>
      </c>
      <c r="E18" s="9" t="s">
        <v>219</v>
      </c>
      <c r="F18" s="8" t="s">
        <v>30</v>
      </c>
      <c r="G18" s="1"/>
    </row>
    <row r="19" spans="1:7" ht="50.1" customHeight="1" x14ac:dyDescent="0.25">
      <c r="A19" s="8" t="s">
        <v>117</v>
      </c>
      <c r="B19" s="16" t="s">
        <v>19</v>
      </c>
      <c r="C19" s="8" t="s">
        <v>225</v>
      </c>
      <c r="D19" s="8" t="s">
        <v>194</v>
      </c>
      <c r="E19" s="9" t="s">
        <v>219</v>
      </c>
      <c r="F19" s="8" t="s">
        <v>31</v>
      </c>
      <c r="G19" s="1"/>
    </row>
    <row r="20" spans="1:7" ht="81.75" customHeight="1" x14ac:dyDescent="0.25">
      <c r="A20" s="8" t="s">
        <v>118</v>
      </c>
      <c r="B20" s="16" t="s">
        <v>288</v>
      </c>
      <c r="C20" s="8" t="s">
        <v>225</v>
      </c>
      <c r="D20" s="8">
        <v>2015</v>
      </c>
      <c r="E20" s="9" t="s">
        <v>219</v>
      </c>
      <c r="F20" s="8" t="s">
        <v>32</v>
      </c>
      <c r="G20" s="1"/>
    </row>
    <row r="21" spans="1:7" ht="50.1" customHeight="1" x14ac:dyDescent="0.25">
      <c r="A21" s="8" t="s">
        <v>119</v>
      </c>
      <c r="B21" s="16" t="s">
        <v>20</v>
      </c>
      <c r="C21" s="8" t="s">
        <v>225</v>
      </c>
      <c r="D21" s="8">
        <v>2015</v>
      </c>
      <c r="E21" s="9" t="s">
        <v>219</v>
      </c>
      <c r="F21" s="8" t="s">
        <v>33</v>
      </c>
      <c r="G21" s="1"/>
    </row>
    <row r="22" spans="1:7" ht="67.5" customHeight="1" x14ac:dyDescent="0.25">
      <c r="A22" s="8" t="s">
        <v>120</v>
      </c>
      <c r="B22" s="16" t="s">
        <v>421</v>
      </c>
      <c r="C22" s="8" t="s">
        <v>225</v>
      </c>
      <c r="D22" s="8">
        <v>2015</v>
      </c>
      <c r="E22" s="9" t="s">
        <v>219</v>
      </c>
      <c r="F22" s="8" t="s">
        <v>34</v>
      </c>
      <c r="G22" s="1"/>
    </row>
    <row r="23" spans="1:7" ht="50.1" customHeight="1" x14ac:dyDescent="0.25">
      <c r="A23" s="8" t="s">
        <v>121</v>
      </c>
      <c r="B23" s="16" t="s">
        <v>21</v>
      </c>
      <c r="C23" s="8" t="s">
        <v>225</v>
      </c>
      <c r="D23" s="8">
        <v>2015</v>
      </c>
      <c r="E23" s="9" t="s">
        <v>219</v>
      </c>
      <c r="F23" s="8" t="s">
        <v>35</v>
      </c>
      <c r="G23" s="1"/>
    </row>
    <row r="24" spans="1:7" ht="78" customHeight="1" x14ac:dyDescent="0.25">
      <c r="A24" s="8" t="s">
        <v>122</v>
      </c>
      <c r="B24" s="16" t="s">
        <v>411</v>
      </c>
      <c r="C24" s="8" t="s">
        <v>249</v>
      </c>
      <c r="D24" s="8" t="s">
        <v>195</v>
      </c>
      <c r="E24" s="9" t="s">
        <v>219</v>
      </c>
      <c r="F24" s="8" t="s">
        <v>36</v>
      </c>
      <c r="G24" s="1"/>
    </row>
    <row r="25" spans="1:7" ht="77.25" customHeight="1" x14ac:dyDescent="0.25">
      <c r="A25" s="8" t="s">
        <v>123</v>
      </c>
      <c r="B25" s="16" t="s">
        <v>236</v>
      </c>
      <c r="C25" s="8" t="s">
        <v>249</v>
      </c>
      <c r="D25" s="8" t="s">
        <v>195</v>
      </c>
      <c r="E25" s="9" t="s">
        <v>219</v>
      </c>
      <c r="F25" s="8" t="s">
        <v>37</v>
      </c>
      <c r="G25" s="1"/>
    </row>
    <row r="26" spans="1:7" ht="78.75" customHeight="1" x14ac:dyDescent="0.25">
      <c r="A26" s="8" t="s">
        <v>124</v>
      </c>
      <c r="B26" s="16" t="s">
        <v>237</v>
      </c>
      <c r="C26" s="8" t="s">
        <v>249</v>
      </c>
      <c r="D26" s="8" t="s">
        <v>195</v>
      </c>
      <c r="E26" s="9" t="s">
        <v>219</v>
      </c>
      <c r="F26" s="8" t="s">
        <v>38</v>
      </c>
      <c r="G26" s="1"/>
    </row>
    <row r="27" spans="1:7" ht="84" customHeight="1" x14ac:dyDescent="0.25">
      <c r="A27" s="8" t="s">
        <v>125</v>
      </c>
      <c r="B27" s="16" t="s">
        <v>22</v>
      </c>
      <c r="C27" s="8" t="s">
        <v>249</v>
      </c>
      <c r="D27" s="8">
        <v>2015</v>
      </c>
      <c r="E27" s="9" t="s">
        <v>219</v>
      </c>
      <c r="F27" s="8" t="s">
        <v>39</v>
      </c>
      <c r="G27" s="1"/>
    </row>
    <row r="28" spans="1:7" ht="72.75" customHeight="1" x14ac:dyDescent="0.25">
      <c r="A28" s="8" t="s">
        <v>126</v>
      </c>
      <c r="B28" s="16" t="s">
        <v>23</v>
      </c>
      <c r="C28" s="8" t="s">
        <v>249</v>
      </c>
      <c r="D28" s="8">
        <v>2015</v>
      </c>
      <c r="E28" s="9" t="s">
        <v>219</v>
      </c>
      <c r="F28" s="8" t="s">
        <v>200</v>
      </c>
      <c r="G28" s="1"/>
    </row>
    <row r="29" spans="1:7" ht="69" customHeight="1" x14ac:dyDescent="0.25">
      <c r="A29" s="8" t="s">
        <v>127</v>
      </c>
      <c r="B29" s="16" t="s">
        <v>250</v>
      </c>
      <c r="C29" s="8" t="s">
        <v>249</v>
      </c>
      <c r="D29" s="8">
        <v>2016</v>
      </c>
      <c r="E29" s="9" t="s">
        <v>219</v>
      </c>
      <c r="F29" s="8" t="s">
        <v>212</v>
      </c>
      <c r="G29" s="1"/>
    </row>
    <row r="30" spans="1:7" ht="76.5" customHeight="1" x14ac:dyDescent="0.25">
      <c r="A30" s="8" t="s">
        <v>128</v>
      </c>
      <c r="B30" s="16" t="s">
        <v>242</v>
      </c>
      <c r="C30" s="8" t="s">
        <v>249</v>
      </c>
      <c r="D30" s="8">
        <v>2015</v>
      </c>
      <c r="E30" s="9" t="s">
        <v>219</v>
      </c>
      <c r="F30" s="8" t="s">
        <v>202</v>
      </c>
      <c r="G30" s="1"/>
    </row>
    <row r="31" spans="1:7" ht="72.75" customHeight="1" x14ac:dyDescent="0.25">
      <c r="A31" s="8" t="s">
        <v>129</v>
      </c>
      <c r="B31" s="16" t="s">
        <v>191</v>
      </c>
      <c r="C31" s="8" t="s">
        <v>249</v>
      </c>
      <c r="D31" s="8">
        <v>2015</v>
      </c>
      <c r="E31" s="9" t="s">
        <v>219</v>
      </c>
      <c r="F31" s="8" t="s">
        <v>213</v>
      </c>
      <c r="G31" s="1"/>
    </row>
    <row r="32" spans="1:7" ht="25.5" customHeight="1" x14ac:dyDescent="0.25">
      <c r="A32" s="8" t="s">
        <v>130</v>
      </c>
      <c r="B32" s="16" t="s">
        <v>24</v>
      </c>
      <c r="C32" s="8" t="s">
        <v>25</v>
      </c>
      <c r="D32" s="8">
        <v>2016</v>
      </c>
      <c r="E32" s="9" t="s">
        <v>219</v>
      </c>
      <c r="F32" s="8" t="s">
        <v>201</v>
      </c>
      <c r="G32" s="1"/>
    </row>
    <row r="33" spans="1:7" ht="77.25" customHeight="1" x14ac:dyDescent="0.25">
      <c r="A33" s="8" t="s">
        <v>286</v>
      </c>
      <c r="B33" s="16" t="s">
        <v>304</v>
      </c>
      <c r="C33" s="8" t="s">
        <v>249</v>
      </c>
      <c r="D33" s="8" t="s">
        <v>211</v>
      </c>
      <c r="E33" s="9" t="s">
        <v>219</v>
      </c>
      <c r="F33" s="8" t="s">
        <v>68</v>
      </c>
      <c r="G33" s="1"/>
    </row>
    <row r="34" spans="1:7" ht="17.25" customHeight="1" x14ac:dyDescent="0.25">
      <c r="A34" s="86" t="s">
        <v>41</v>
      </c>
      <c r="B34" s="87"/>
      <c r="C34" s="87"/>
      <c r="D34" s="87"/>
      <c r="E34" s="87"/>
      <c r="F34" s="88"/>
      <c r="G34" s="1"/>
    </row>
    <row r="35" spans="1:7" ht="80.25" customHeight="1" x14ac:dyDescent="0.25">
      <c r="A35" s="8" t="s">
        <v>131</v>
      </c>
      <c r="B35" s="16" t="s">
        <v>203</v>
      </c>
      <c r="C35" s="8" t="s">
        <v>226</v>
      </c>
      <c r="D35" s="8">
        <v>2015</v>
      </c>
      <c r="E35" s="10" t="s">
        <v>219</v>
      </c>
      <c r="F35" s="8" t="s">
        <v>49</v>
      </c>
    </row>
    <row r="36" spans="1:7" ht="100.5" customHeight="1" x14ac:dyDescent="0.25">
      <c r="A36" s="8" t="s">
        <v>132</v>
      </c>
      <c r="B36" s="16" t="s">
        <v>42</v>
      </c>
      <c r="C36" s="8" t="s">
        <v>226</v>
      </c>
      <c r="D36" s="8">
        <v>2015</v>
      </c>
      <c r="E36" s="10" t="s">
        <v>219</v>
      </c>
      <c r="F36" s="8" t="s">
        <v>50</v>
      </c>
    </row>
    <row r="37" spans="1:7" ht="50.1" customHeight="1" x14ac:dyDescent="0.25">
      <c r="A37" s="8" t="s">
        <v>133</v>
      </c>
      <c r="B37" s="16" t="s">
        <v>271</v>
      </c>
      <c r="C37" s="8" t="s">
        <v>226</v>
      </c>
      <c r="D37" s="8">
        <v>2015</v>
      </c>
      <c r="E37" s="10" t="s">
        <v>219</v>
      </c>
      <c r="F37" s="8" t="s">
        <v>50</v>
      </c>
    </row>
    <row r="38" spans="1:7" ht="50.1" customHeight="1" x14ac:dyDescent="0.25">
      <c r="A38" s="8" t="s">
        <v>134</v>
      </c>
      <c r="B38" s="16" t="s">
        <v>43</v>
      </c>
      <c r="C38" s="8" t="s">
        <v>226</v>
      </c>
      <c r="D38" s="8">
        <v>2015</v>
      </c>
      <c r="E38" s="10" t="s">
        <v>219</v>
      </c>
      <c r="F38" s="8" t="s">
        <v>49</v>
      </c>
    </row>
    <row r="39" spans="1:7" ht="50.1" customHeight="1" x14ac:dyDescent="0.25">
      <c r="A39" s="8" t="s">
        <v>135</v>
      </c>
      <c r="B39" s="16" t="s">
        <v>44</v>
      </c>
      <c r="C39" s="8" t="s">
        <v>226</v>
      </c>
      <c r="D39" s="8">
        <v>2015</v>
      </c>
      <c r="E39" s="10" t="s">
        <v>219</v>
      </c>
      <c r="F39" s="8" t="s">
        <v>204</v>
      </c>
    </row>
    <row r="40" spans="1:7" ht="76.5" customHeight="1" x14ac:dyDescent="0.25">
      <c r="A40" s="8" t="s">
        <v>136</v>
      </c>
      <c r="B40" s="16" t="s">
        <v>45</v>
      </c>
      <c r="C40" s="8" t="s">
        <v>226</v>
      </c>
      <c r="D40" s="8">
        <v>2015</v>
      </c>
      <c r="E40" s="10" t="s">
        <v>219</v>
      </c>
      <c r="F40" s="8" t="s">
        <v>51</v>
      </c>
    </row>
    <row r="41" spans="1:7" ht="50.1" customHeight="1" x14ac:dyDescent="0.25">
      <c r="A41" s="8" t="s">
        <v>137</v>
      </c>
      <c r="B41" s="16" t="s">
        <v>272</v>
      </c>
      <c r="C41" s="8" t="s">
        <v>226</v>
      </c>
      <c r="D41" s="8">
        <v>2015</v>
      </c>
      <c r="E41" s="10" t="s">
        <v>219</v>
      </c>
      <c r="F41" s="8" t="s">
        <v>214</v>
      </c>
    </row>
    <row r="42" spans="1:7" ht="52.5" customHeight="1" x14ac:dyDescent="0.25">
      <c r="A42" s="8" t="s">
        <v>138</v>
      </c>
      <c r="B42" s="16" t="s">
        <v>46</v>
      </c>
      <c r="C42" s="8" t="s">
        <v>251</v>
      </c>
      <c r="D42" s="8">
        <v>2015</v>
      </c>
      <c r="E42" s="8">
        <v>2015</v>
      </c>
      <c r="F42" s="8" t="s">
        <v>205</v>
      </c>
    </row>
    <row r="43" spans="1:7" ht="55.5" customHeight="1" x14ac:dyDescent="0.25">
      <c r="A43" s="8" t="s">
        <v>139</v>
      </c>
      <c r="B43" s="16" t="s">
        <v>252</v>
      </c>
      <c r="C43" s="8" t="s">
        <v>251</v>
      </c>
      <c r="D43" s="8">
        <v>2015</v>
      </c>
      <c r="E43" s="8">
        <v>2015</v>
      </c>
      <c r="F43" s="8" t="s">
        <v>52</v>
      </c>
    </row>
    <row r="44" spans="1:7" ht="38.25" x14ac:dyDescent="0.25">
      <c r="A44" s="8" t="s">
        <v>140</v>
      </c>
      <c r="B44" s="16" t="s">
        <v>306</v>
      </c>
      <c r="C44" s="8" t="s">
        <v>264</v>
      </c>
      <c r="D44" s="8">
        <v>2020</v>
      </c>
      <c r="E44" s="8">
        <v>2020</v>
      </c>
      <c r="F44" s="8" t="s">
        <v>206</v>
      </c>
    </row>
    <row r="45" spans="1:7" s="12" customFormat="1" ht="50.1" customHeight="1" x14ac:dyDescent="0.25">
      <c r="A45" s="8" t="s">
        <v>141</v>
      </c>
      <c r="B45" s="16" t="s">
        <v>313</v>
      </c>
      <c r="C45" s="8" t="s">
        <v>226</v>
      </c>
      <c r="D45" s="8">
        <v>2016</v>
      </c>
      <c r="E45" s="8" t="s">
        <v>219</v>
      </c>
      <c r="F45" s="8" t="s">
        <v>49</v>
      </c>
    </row>
    <row r="46" spans="1:7" ht="50.1" customHeight="1" x14ac:dyDescent="0.25">
      <c r="A46" s="8" t="s">
        <v>142</v>
      </c>
      <c r="B46" s="16" t="s">
        <v>47</v>
      </c>
      <c r="C46" s="8" t="s">
        <v>226</v>
      </c>
      <c r="D46" s="8">
        <v>2016</v>
      </c>
      <c r="E46" s="8" t="s">
        <v>219</v>
      </c>
      <c r="F46" s="8" t="s">
        <v>49</v>
      </c>
    </row>
    <row r="47" spans="1:7" ht="50.1" customHeight="1" x14ac:dyDescent="0.25">
      <c r="A47" s="8" t="s">
        <v>143</v>
      </c>
      <c r="B47" s="16" t="s">
        <v>248</v>
      </c>
      <c r="C47" s="8" t="s">
        <v>226</v>
      </c>
      <c r="D47" s="8">
        <v>2016</v>
      </c>
      <c r="E47" s="8">
        <v>2016</v>
      </c>
      <c r="F47" s="8" t="s">
        <v>51</v>
      </c>
    </row>
    <row r="48" spans="1:7" ht="50.1" customHeight="1" x14ac:dyDescent="0.25">
      <c r="A48" s="8" t="s">
        <v>144</v>
      </c>
      <c r="B48" s="16" t="s">
        <v>48</v>
      </c>
      <c r="C48" s="8" t="s">
        <v>226</v>
      </c>
      <c r="D48" s="8">
        <v>2015</v>
      </c>
      <c r="E48" s="10" t="s">
        <v>219</v>
      </c>
      <c r="F48" s="8" t="s">
        <v>78</v>
      </c>
    </row>
    <row r="49" spans="1:17" x14ac:dyDescent="0.25">
      <c r="A49" s="79" t="s">
        <v>53</v>
      </c>
      <c r="B49" s="79"/>
      <c r="C49" s="79"/>
      <c r="D49" s="79"/>
      <c r="E49" s="79"/>
      <c r="F49" s="79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8" t="s">
        <v>145</v>
      </c>
      <c r="B50" s="16" t="s">
        <v>268</v>
      </c>
      <c r="C50" s="8" t="s">
        <v>227</v>
      </c>
      <c r="D50" s="10">
        <v>2016</v>
      </c>
      <c r="E50" s="10" t="s">
        <v>219</v>
      </c>
      <c r="F50" s="8" t="s">
        <v>56</v>
      </c>
    </row>
    <row r="51" spans="1:17" ht="58.5" customHeight="1" x14ac:dyDescent="0.25">
      <c r="A51" s="8" t="s">
        <v>146</v>
      </c>
      <c r="B51" s="16" t="s">
        <v>267</v>
      </c>
      <c r="C51" s="8" t="s">
        <v>227</v>
      </c>
      <c r="D51" s="10">
        <v>2015</v>
      </c>
      <c r="E51" s="10" t="s">
        <v>219</v>
      </c>
      <c r="F51" s="8" t="s">
        <v>215</v>
      </c>
    </row>
    <row r="52" spans="1:17" ht="50.1" customHeight="1" x14ac:dyDescent="0.25">
      <c r="A52" s="8" t="s">
        <v>147</v>
      </c>
      <c r="B52" s="16" t="s">
        <v>54</v>
      </c>
      <c r="C52" s="8" t="s">
        <v>227</v>
      </c>
      <c r="D52" s="10">
        <v>2015</v>
      </c>
      <c r="E52" s="10" t="s">
        <v>219</v>
      </c>
      <c r="F52" s="8" t="s">
        <v>57</v>
      </c>
    </row>
    <row r="53" spans="1:17" ht="50.1" customHeight="1" x14ac:dyDescent="0.25">
      <c r="A53" s="8" t="s">
        <v>148</v>
      </c>
      <c r="B53" s="16" t="s">
        <v>266</v>
      </c>
      <c r="C53" s="8" t="s">
        <v>227</v>
      </c>
      <c r="D53" s="10">
        <v>2015</v>
      </c>
      <c r="E53" s="10" t="s">
        <v>219</v>
      </c>
      <c r="F53" s="8" t="s">
        <v>216</v>
      </c>
    </row>
    <row r="54" spans="1:17" ht="50.1" customHeight="1" x14ac:dyDescent="0.25">
      <c r="A54" s="8" t="s">
        <v>149</v>
      </c>
      <c r="B54" s="16" t="s">
        <v>55</v>
      </c>
      <c r="C54" s="8" t="s">
        <v>227</v>
      </c>
      <c r="D54" s="10">
        <v>2015</v>
      </c>
      <c r="E54" s="10" t="s">
        <v>219</v>
      </c>
      <c r="F54" s="8" t="s">
        <v>207</v>
      </c>
    </row>
    <row r="55" spans="1:17" ht="15.75" customHeight="1" x14ac:dyDescent="0.25">
      <c r="A55" s="86" t="s">
        <v>274</v>
      </c>
      <c r="B55" s="87"/>
      <c r="C55" s="87"/>
      <c r="D55" s="87"/>
      <c r="E55" s="87"/>
      <c r="F55" s="88"/>
    </row>
    <row r="56" spans="1:17" ht="50.1" customHeight="1" x14ac:dyDescent="0.25">
      <c r="A56" s="8" t="s">
        <v>150</v>
      </c>
      <c r="B56" s="16" t="s">
        <v>59</v>
      </c>
      <c r="C56" s="8" t="s">
        <v>321</v>
      </c>
      <c r="D56" s="9" t="s">
        <v>197</v>
      </c>
      <c r="E56" s="10" t="s">
        <v>219</v>
      </c>
      <c r="F56" s="8" t="s">
        <v>208</v>
      </c>
    </row>
    <row r="57" spans="1:17" ht="50.1" customHeight="1" x14ac:dyDescent="0.25">
      <c r="A57" s="8" t="s">
        <v>151</v>
      </c>
      <c r="B57" s="16" t="s">
        <v>60</v>
      </c>
      <c r="C57" s="8" t="s">
        <v>321</v>
      </c>
      <c r="D57" s="10">
        <v>2015</v>
      </c>
      <c r="E57" s="10" t="s">
        <v>219</v>
      </c>
      <c r="F57" s="8" t="s">
        <v>217</v>
      </c>
    </row>
    <row r="58" spans="1:17" ht="50.1" customHeight="1" x14ac:dyDescent="0.25">
      <c r="A58" s="8" t="s">
        <v>152</v>
      </c>
      <c r="B58" s="16" t="s">
        <v>325</v>
      </c>
      <c r="C58" s="8" t="s">
        <v>321</v>
      </c>
      <c r="D58" s="10">
        <v>2015</v>
      </c>
      <c r="E58" s="10" t="s">
        <v>219</v>
      </c>
      <c r="F58" s="8" t="s">
        <v>275</v>
      </c>
    </row>
    <row r="59" spans="1:17" ht="50.1" customHeight="1" x14ac:dyDescent="0.25">
      <c r="A59" s="8" t="s">
        <v>153</v>
      </c>
      <c r="B59" s="16" t="s">
        <v>61</v>
      </c>
      <c r="C59" s="8" t="s">
        <v>321</v>
      </c>
      <c r="D59" s="10">
        <v>2015</v>
      </c>
      <c r="E59" s="10" t="s">
        <v>219</v>
      </c>
      <c r="F59" s="8" t="s">
        <v>265</v>
      </c>
    </row>
    <row r="60" spans="1:17" ht="50.1" customHeight="1" x14ac:dyDescent="0.25">
      <c r="A60" s="8" t="s">
        <v>154</v>
      </c>
      <c r="B60" s="16" t="s">
        <v>323</v>
      </c>
      <c r="C60" s="8" t="s">
        <v>321</v>
      </c>
      <c r="D60" s="10">
        <v>2015</v>
      </c>
      <c r="E60" s="10" t="s">
        <v>219</v>
      </c>
      <c r="F60" s="8" t="s">
        <v>67</v>
      </c>
    </row>
    <row r="61" spans="1:17" ht="50.1" customHeight="1" x14ac:dyDescent="0.25">
      <c r="A61" s="8" t="s">
        <v>155</v>
      </c>
      <c r="B61" s="16" t="s">
        <v>62</v>
      </c>
      <c r="C61" s="8" t="s">
        <v>321</v>
      </c>
      <c r="D61" s="10">
        <v>2015</v>
      </c>
      <c r="E61" s="10" t="s">
        <v>219</v>
      </c>
      <c r="F61" s="8" t="s">
        <v>68</v>
      </c>
    </row>
    <row r="62" spans="1:17" ht="50.1" customHeight="1" x14ac:dyDescent="0.25">
      <c r="A62" s="8" t="s">
        <v>156</v>
      </c>
      <c r="B62" s="16" t="s">
        <v>63</v>
      </c>
      <c r="C62" s="8" t="s">
        <v>321</v>
      </c>
      <c r="D62" s="10">
        <v>2015</v>
      </c>
      <c r="E62" s="10" t="s">
        <v>219</v>
      </c>
      <c r="F62" s="8" t="s">
        <v>209</v>
      </c>
    </row>
    <row r="63" spans="1:17" ht="50.1" customHeight="1" x14ac:dyDescent="0.25">
      <c r="A63" s="8" t="s">
        <v>157</v>
      </c>
      <c r="B63" s="16" t="s">
        <v>64</v>
      </c>
      <c r="C63" s="8" t="s">
        <v>321</v>
      </c>
      <c r="D63" s="10">
        <v>2015</v>
      </c>
      <c r="E63" s="10" t="s">
        <v>219</v>
      </c>
      <c r="F63" s="8" t="s">
        <v>78</v>
      </c>
    </row>
    <row r="64" spans="1:17" x14ac:dyDescent="0.25">
      <c r="A64" s="80" t="s">
        <v>221</v>
      </c>
      <c r="B64" s="81"/>
      <c r="C64" s="81"/>
      <c r="D64" s="81"/>
      <c r="E64" s="81"/>
      <c r="F64" s="8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6" ht="69.75" customHeight="1" x14ac:dyDescent="0.25">
      <c r="A65" s="8" t="s">
        <v>158</v>
      </c>
      <c r="B65" s="16" t="s">
        <v>269</v>
      </c>
      <c r="C65" s="8" t="s">
        <v>73</v>
      </c>
      <c r="D65" s="10">
        <v>2015</v>
      </c>
      <c r="E65" s="10">
        <v>2022</v>
      </c>
      <c r="F65" s="8" t="s">
        <v>74</v>
      </c>
    </row>
    <row r="66" spans="1:6" ht="50.1" customHeight="1" x14ac:dyDescent="0.25">
      <c r="A66" s="8" t="s">
        <v>159</v>
      </c>
      <c r="B66" s="16" t="s">
        <v>70</v>
      </c>
      <c r="C66" s="8" t="s">
        <v>228</v>
      </c>
      <c r="D66" s="8" t="s">
        <v>218</v>
      </c>
      <c r="E66" s="8" t="s">
        <v>210</v>
      </c>
      <c r="F66" s="8" t="s">
        <v>65</v>
      </c>
    </row>
    <row r="67" spans="1:6" ht="50.1" customHeight="1" x14ac:dyDescent="0.25">
      <c r="A67" s="8" t="s">
        <v>160</v>
      </c>
      <c r="B67" s="16" t="s">
        <v>232</v>
      </c>
      <c r="C67" s="8" t="s">
        <v>228</v>
      </c>
      <c r="D67" s="8" t="s">
        <v>195</v>
      </c>
      <c r="E67" s="8" t="s">
        <v>219</v>
      </c>
      <c r="F67" s="8" t="s">
        <v>65</v>
      </c>
    </row>
    <row r="68" spans="1:6" ht="50.1" customHeight="1" x14ac:dyDescent="0.25">
      <c r="A68" s="8" t="s">
        <v>161</v>
      </c>
      <c r="B68" s="16" t="s">
        <v>277</v>
      </c>
      <c r="C68" s="8" t="s">
        <v>227</v>
      </c>
      <c r="D68" s="8" t="s">
        <v>198</v>
      </c>
      <c r="E68" s="8" t="s">
        <v>210</v>
      </c>
      <c r="F68" s="8" t="s">
        <v>75</v>
      </c>
    </row>
    <row r="69" spans="1:6" ht="50.1" customHeight="1" x14ac:dyDescent="0.25">
      <c r="A69" s="8" t="s">
        <v>162</v>
      </c>
      <c r="B69" s="16" t="s">
        <v>278</v>
      </c>
      <c r="C69" s="8" t="s">
        <v>227</v>
      </c>
      <c r="D69" s="8" t="s">
        <v>210</v>
      </c>
      <c r="E69" s="8" t="s">
        <v>210</v>
      </c>
      <c r="F69" s="8" t="s">
        <v>75</v>
      </c>
    </row>
    <row r="70" spans="1:6" ht="50.1" customHeight="1" x14ac:dyDescent="0.25">
      <c r="A70" s="8" t="s">
        <v>163</v>
      </c>
      <c r="B70" s="16" t="s">
        <v>247</v>
      </c>
      <c r="C70" s="8" t="s">
        <v>226</v>
      </c>
      <c r="D70" s="8" t="s">
        <v>210</v>
      </c>
      <c r="E70" s="8" t="s">
        <v>219</v>
      </c>
      <c r="F70" s="8" t="s">
        <v>65</v>
      </c>
    </row>
    <row r="71" spans="1:6" ht="50.1" customHeight="1" x14ac:dyDescent="0.25">
      <c r="A71" s="8" t="s">
        <v>164</v>
      </c>
      <c r="B71" s="16" t="s">
        <v>279</v>
      </c>
      <c r="C71" s="8" t="s">
        <v>229</v>
      </c>
      <c r="D71" s="8" t="s">
        <v>219</v>
      </c>
      <c r="E71" s="8">
        <v>2022</v>
      </c>
      <c r="F71" s="8" t="s">
        <v>76</v>
      </c>
    </row>
    <row r="72" spans="1:6" ht="25.5" x14ac:dyDescent="0.25">
      <c r="A72" s="8" t="s">
        <v>165</v>
      </c>
      <c r="B72" s="16" t="s">
        <v>72</v>
      </c>
      <c r="C72" s="8" t="s">
        <v>263</v>
      </c>
      <c r="D72" s="8" t="s">
        <v>211</v>
      </c>
      <c r="E72" s="10">
        <v>2022</v>
      </c>
      <c r="F72" s="8" t="s">
        <v>77</v>
      </c>
    </row>
    <row r="73" spans="1:6" ht="50.1" customHeight="1" x14ac:dyDescent="0.25">
      <c r="A73" s="8" t="s">
        <v>166</v>
      </c>
      <c r="B73" s="16" t="s">
        <v>233</v>
      </c>
      <c r="C73" s="8" t="s">
        <v>229</v>
      </c>
      <c r="D73" s="8">
        <v>2015</v>
      </c>
      <c r="E73" s="8">
        <v>2022</v>
      </c>
      <c r="F73" s="8" t="s">
        <v>66</v>
      </c>
    </row>
    <row r="74" spans="1:6" ht="50.1" customHeight="1" x14ac:dyDescent="0.25">
      <c r="A74" s="8" t="s">
        <v>167</v>
      </c>
      <c r="B74" s="16" t="s">
        <v>280</v>
      </c>
      <c r="C74" s="8" t="s">
        <v>226</v>
      </c>
      <c r="D74" s="8">
        <v>2015</v>
      </c>
      <c r="E74" s="8">
        <v>2022</v>
      </c>
      <c r="F74" s="8" t="s">
        <v>78</v>
      </c>
    </row>
    <row r="75" spans="1:6" ht="51" x14ac:dyDescent="0.25">
      <c r="A75" s="8" t="s">
        <v>168</v>
      </c>
      <c r="B75" s="16" t="s">
        <v>243</v>
      </c>
      <c r="C75" s="8" t="s">
        <v>246</v>
      </c>
      <c r="D75" s="8">
        <v>2015</v>
      </c>
      <c r="E75" s="8">
        <v>2022</v>
      </c>
      <c r="F75" s="8" t="s">
        <v>65</v>
      </c>
    </row>
    <row r="76" spans="1:6" ht="50.1" customHeight="1" x14ac:dyDescent="0.25">
      <c r="A76" s="8" t="s">
        <v>169</v>
      </c>
      <c r="B76" s="16" t="s">
        <v>235</v>
      </c>
      <c r="C76" s="8" t="s">
        <v>226</v>
      </c>
      <c r="D76" s="8" t="s">
        <v>198</v>
      </c>
      <c r="E76" s="8" t="s">
        <v>198</v>
      </c>
      <c r="F76" s="8" t="s">
        <v>245</v>
      </c>
    </row>
    <row r="77" spans="1:6" ht="50.1" customHeight="1" x14ac:dyDescent="0.25">
      <c r="A77" s="8" t="s">
        <v>222</v>
      </c>
      <c r="B77" s="16" t="s">
        <v>234</v>
      </c>
      <c r="C77" s="8" t="s">
        <v>226</v>
      </c>
      <c r="D77" s="8" t="s">
        <v>231</v>
      </c>
      <c r="E77" s="8">
        <v>2022</v>
      </c>
      <c r="F77" s="8" t="s">
        <v>65</v>
      </c>
    </row>
    <row r="78" spans="1:6" ht="50.1" customHeight="1" x14ac:dyDescent="0.25">
      <c r="A78" s="8" t="s">
        <v>223</v>
      </c>
      <c r="B78" s="16" t="s">
        <v>276</v>
      </c>
      <c r="C78" s="8" t="s">
        <v>227</v>
      </c>
      <c r="D78" s="8" t="s">
        <v>231</v>
      </c>
      <c r="E78" s="8">
        <v>2022</v>
      </c>
      <c r="F78" s="8" t="s">
        <v>65</v>
      </c>
    </row>
    <row r="79" spans="1:6" ht="50.1" customHeight="1" x14ac:dyDescent="0.25">
      <c r="A79" s="8" t="s">
        <v>224</v>
      </c>
      <c r="B79" s="16" t="s">
        <v>260</v>
      </c>
      <c r="C79" s="8" t="s">
        <v>225</v>
      </c>
      <c r="D79" s="8" t="s">
        <v>231</v>
      </c>
      <c r="E79" s="8" t="s">
        <v>231</v>
      </c>
      <c r="F79" s="8" t="s">
        <v>65</v>
      </c>
    </row>
    <row r="80" spans="1:6" ht="50.1" customHeight="1" x14ac:dyDescent="0.25">
      <c r="A80" s="8" t="s">
        <v>287</v>
      </c>
      <c r="B80" s="16" t="s">
        <v>305</v>
      </c>
      <c r="C80" s="8" t="s">
        <v>228</v>
      </c>
      <c r="D80" s="8">
        <v>2020</v>
      </c>
      <c r="E80" s="8" t="s">
        <v>211</v>
      </c>
      <c r="F80" s="8" t="s">
        <v>74</v>
      </c>
    </row>
    <row r="81" spans="1:18" s="17" customFormat="1" ht="50.1" customHeight="1" x14ac:dyDescent="0.25">
      <c r="A81" s="16" t="s">
        <v>308</v>
      </c>
      <c r="B81" s="16" t="s">
        <v>309</v>
      </c>
      <c r="C81" s="16" t="s">
        <v>228</v>
      </c>
      <c r="D81" s="16" t="s">
        <v>210</v>
      </c>
      <c r="E81" s="16" t="s">
        <v>219</v>
      </c>
      <c r="F81" s="16" t="s">
        <v>65</v>
      </c>
    </row>
    <row r="82" spans="1:18" s="17" customFormat="1" ht="50.1" customHeight="1" x14ac:dyDescent="0.25">
      <c r="A82" s="16" t="s">
        <v>310</v>
      </c>
      <c r="B82" s="16" t="s">
        <v>312</v>
      </c>
      <c r="C82" s="16" t="s">
        <v>230</v>
      </c>
      <c r="D82" s="16" t="s">
        <v>210</v>
      </c>
      <c r="E82" s="16" t="s">
        <v>210</v>
      </c>
      <c r="F82" s="16" t="s">
        <v>74</v>
      </c>
    </row>
    <row r="83" spans="1:18" s="17" customFormat="1" ht="50.1" customHeight="1" x14ac:dyDescent="0.25">
      <c r="A83" s="16" t="s">
        <v>316</v>
      </c>
      <c r="B83" s="16" t="s">
        <v>317</v>
      </c>
      <c r="C83" s="16" t="s">
        <v>228</v>
      </c>
      <c r="D83" s="16" t="s">
        <v>210</v>
      </c>
      <c r="E83" s="16" t="s">
        <v>219</v>
      </c>
      <c r="F83" s="16" t="s">
        <v>65</v>
      </c>
    </row>
    <row r="84" spans="1:18" ht="15" customHeight="1" x14ac:dyDescent="0.25">
      <c r="A84" s="80" t="s">
        <v>79</v>
      </c>
      <c r="B84" s="81"/>
      <c r="C84" s="81"/>
      <c r="D84" s="81"/>
      <c r="E84" s="81"/>
      <c r="F84" s="82"/>
    </row>
    <row r="85" spans="1:18" ht="50.1" customHeight="1" x14ac:dyDescent="0.25">
      <c r="A85" s="8" t="s">
        <v>170</v>
      </c>
      <c r="B85" s="16" t="s">
        <v>285</v>
      </c>
      <c r="C85" s="8" t="s">
        <v>229</v>
      </c>
      <c r="D85" s="10">
        <v>2015</v>
      </c>
      <c r="E85" s="10" t="s">
        <v>219</v>
      </c>
      <c r="F85" s="8" t="s">
        <v>80</v>
      </c>
    </row>
    <row r="86" spans="1:18" x14ac:dyDescent="0.25">
      <c r="A86" s="79" t="s">
        <v>81</v>
      </c>
      <c r="B86" s="79"/>
      <c r="C86" s="79"/>
      <c r="D86" s="79"/>
      <c r="E86" s="79"/>
      <c r="F86" s="79"/>
      <c r="G86" s="7"/>
      <c r="H86" s="7"/>
      <c r="I86" s="7"/>
      <c r="J86" s="7"/>
      <c r="K86" s="7"/>
      <c r="L86" s="7"/>
      <c r="M86" s="7"/>
      <c r="N86" s="7"/>
      <c r="O86" s="7"/>
      <c r="P86" s="7"/>
      <c r="Q86" s="7"/>
      <c r="R86" s="7"/>
    </row>
    <row r="87" spans="1:18" ht="81.75" customHeight="1" x14ac:dyDescent="0.25">
      <c r="A87" s="8" t="s">
        <v>171</v>
      </c>
      <c r="B87" s="16" t="s">
        <v>324</v>
      </c>
      <c r="C87" s="8" t="s">
        <v>264</v>
      </c>
      <c r="D87" s="10">
        <v>2015</v>
      </c>
      <c r="E87" s="10">
        <v>2022</v>
      </c>
      <c r="F87" s="8" t="s">
        <v>244</v>
      </c>
    </row>
    <row r="88" spans="1:18" ht="50.1" customHeight="1" x14ac:dyDescent="0.25">
      <c r="A88" s="8" t="s">
        <v>172</v>
      </c>
      <c r="B88" s="16" t="s">
        <v>270</v>
      </c>
      <c r="C88" s="8" t="s">
        <v>229</v>
      </c>
      <c r="D88" s="10">
        <v>2015</v>
      </c>
      <c r="E88" s="10">
        <v>2022</v>
      </c>
      <c r="F88" s="8" t="s">
        <v>90</v>
      </c>
    </row>
    <row r="89" spans="1:18" ht="50.1" customHeight="1" x14ac:dyDescent="0.25">
      <c r="A89" s="8" t="s">
        <v>173</v>
      </c>
      <c r="B89" s="16" t="s">
        <v>82</v>
      </c>
      <c r="C89" s="8" t="s">
        <v>264</v>
      </c>
      <c r="D89" s="10">
        <v>2015</v>
      </c>
      <c r="E89" s="10">
        <v>2022</v>
      </c>
      <c r="F89" s="8" t="s">
        <v>91</v>
      </c>
    </row>
    <row r="90" spans="1:18" ht="50.1" customHeight="1" x14ac:dyDescent="0.25">
      <c r="A90" s="8" t="s">
        <v>174</v>
      </c>
      <c r="B90" s="16" t="s">
        <v>83</v>
      </c>
      <c r="C90" s="8" t="s">
        <v>264</v>
      </c>
      <c r="D90" s="10">
        <v>2015</v>
      </c>
      <c r="E90" s="10">
        <v>2022</v>
      </c>
      <c r="F90" s="8" t="s">
        <v>220</v>
      </c>
    </row>
    <row r="91" spans="1:18" ht="50.1" customHeight="1" x14ac:dyDescent="0.25">
      <c r="A91" s="8" t="s">
        <v>175</v>
      </c>
      <c r="B91" s="16" t="s">
        <v>84</v>
      </c>
      <c r="C91" s="8" t="s">
        <v>264</v>
      </c>
      <c r="D91" s="10">
        <v>2015</v>
      </c>
      <c r="E91" s="10">
        <v>2022</v>
      </c>
      <c r="F91" s="8" t="s">
        <v>92</v>
      </c>
    </row>
    <row r="92" spans="1:18" ht="50.1" customHeight="1" x14ac:dyDescent="0.25">
      <c r="A92" s="8" t="s">
        <v>176</v>
      </c>
      <c r="B92" s="16" t="s">
        <v>85</v>
      </c>
      <c r="C92" s="8" t="s">
        <v>264</v>
      </c>
      <c r="D92" s="10">
        <v>2015</v>
      </c>
      <c r="E92" s="10">
        <v>2022</v>
      </c>
      <c r="F92" s="8" t="s">
        <v>93</v>
      </c>
    </row>
    <row r="93" spans="1:18" ht="50.1" customHeight="1" x14ac:dyDescent="0.25">
      <c r="A93" s="8" t="s">
        <v>177</v>
      </c>
      <c r="B93" s="16" t="s">
        <v>86</v>
      </c>
      <c r="C93" s="8" t="s">
        <v>264</v>
      </c>
      <c r="D93" s="10">
        <v>2015</v>
      </c>
      <c r="E93" s="10">
        <v>2022</v>
      </c>
      <c r="F93" s="8" t="s">
        <v>92</v>
      </c>
    </row>
    <row r="94" spans="1:18" ht="50.1" customHeight="1" x14ac:dyDescent="0.25">
      <c r="A94" s="8" t="s">
        <v>178</v>
      </c>
      <c r="B94" s="16" t="s">
        <v>87</v>
      </c>
      <c r="C94" s="8" t="s">
        <v>230</v>
      </c>
      <c r="D94" s="10">
        <v>2015</v>
      </c>
      <c r="E94" s="10">
        <v>2022</v>
      </c>
      <c r="F94" s="8" t="s">
        <v>94</v>
      </c>
    </row>
    <row r="95" spans="1:18" ht="50.1" customHeight="1" x14ac:dyDescent="0.25">
      <c r="A95" s="8" t="s">
        <v>179</v>
      </c>
      <c r="B95" s="16" t="s">
        <v>88</v>
      </c>
      <c r="C95" s="8" t="s">
        <v>230</v>
      </c>
      <c r="D95" s="8">
        <v>2016</v>
      </c>
      <c r="E95" s="8">
        <v>2022</v>
      </c>
      <c r="F95" s="8" t="s">
        <v>95</v>
      </c>
    </row>
    <row r="96" spans="1:18" ht="82.5" customHeight="1" x14ac:dyDescent="0.25">
      <c r="A96" s="8" t="s">
        <v>180</v>
      </c>
      <c r="B96" s="16" t="s">
        <v>422</v>
      </c>
      <c r="C96" s="8" t="s">
        <v>230</v>
      </c>
      <c r="D96" s="8">
        <v>2016</v>
      </c>
      <c r="E96" s="8">
        <v>2022</v>
      </c>
      <c r="F96" s="8" t="s">
        <v>96</v>
      </c>
    </row>
    <row r="97" spans="1:7" ht="37.5" customHeight="1" x14ac:dyDescent="0.25">
      <c r="A97" s="8" t="s">
        <v>181</v>
      </c>
      <c r="B97" s="16" t="s">
        <v>282</v>
      </c>
      <c r="C97" s="8" t="s">
        <v>89</v>
      </c>
      <c r="D97" s="8">
        <v>2017</v>
      </c>
      <c r="E97" s="8">
        <v>2022</v>
      </c>
      <c r="F97" s="8" t="s">
        <v>97</v>
      </c>
      <c r="G97" s="15" t="s">
        <v>239</v>
      </c>
    </row>
    <row r="98" spans="1:7" x14ac:dyDescent="0.25">
      <c r="A98" s="11"/>
      <c r="B98" s="28"/>
      <c r="C98" s="11"/>
      <c r="D98" s="11"/>
      <c r="E98" s="11"/>
      <c r="F98" s="11"/>
    </row>
    <row r="99" spans="1:7" x14ac:dyDescent="0.25">
      <c r="A99" s="11"/>
      <c r="B99" s="28"/>
      <c r="C99" s="11"/>
      <c r="D99" s="11"/>
      <c r="E99" s="11"/>
      <c r="F99" s="11"/>
    </row>
  </sheetData>
  <mergeCells count="13">
    <mergeCell ref="D1:F1"/>
    <mergeCell ref="A64:F64"/>
    <mergeCell ref="B5:F5"/>
    <mergeCell ref="B6:F6"/>
    <mergeCell ref="F8:F9"/>
    <mergeCell ref="D8:E8"/>
    <mergeCell ref="D3:F3"/>
    <mergeCell ref="A86:F86"/>
    <mergeCell ref="A84:F84"/>
    <mergeCell ref="A49:F49"/>
    <mergeCell ref="A11:F11"/>
    <mergeCell ref="A34:F34"/>
    <mergeCell ref="A55:F55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2" manualBreakCount="2">
    <brk id="61" max="6" man="1"/>
    <brk id="72" max="6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1"/>
  <sheetViews>
    <sheetView view="pageBreakPreview" zoomScale="150" zoomScaleSheetLayoutView="150" workbookViewId="0">
      <selection activeCell="B2" sqref="B2"/>
    </sheetView>
  </sheetViews>
  <sheetFormatPr defaultRowHeight="15" x14ac:dyDescent="0.25"/>
  <cols>
    <col min="1" max="1" width="6.7109375" style="17" customWidth="1"/>
    <col min="2" max="2" width="54.5703125" style="17" customWidth="1"/>
    <col min="3" max="3" width="23.42578125" style="17" customWidth="1"/>
    <col min="4" max="5" width="10.7109375" style="17" customWidth="1"/>
    <col min="6" max="6" width="30.7109375" style="17" customWidth="1"/>
    <col min="7" max="7" width="2.7109375" customWidth="1"/>
  </cols>
  <sheetData>
    <row r="1" spans="1:18" ht="108" customHeight="1" x14ac:dyDescent="0.25">
      <c r="A1" s="25"/>
      <c r="B1" s="25"/>
      <c r="C1" s="29"/>
      <c r="D1" s="103" t="s">
        <v>518</v>
      </c>
      <c r="E1" s="103"/>
      <c r="F1" s="103"/>
      <c r="G1" s="3"/>
      <c r="H1" s="3"/>
      <c r="I1" s="3"/>
      <c r="J1" s="3"/>
      <c r="K1" s="3"/>
      <c r="L1" s="3"/>
      <c r="M1" s="3"/>
      <c r="N1" s="3"/>
      <c r="O1" s="3"/>
    </row>
    <row r="2" spans="1:18" ht="15" customHeight="1" x14ac:dyDescent="0.25">
      <c r="A2" s="25"/>
      <c r="B2" s="25"/>
      <c r="C2" s="29"/>
      <c r="D2" s="30"/>
      <c r="E2" s="30"/>
      <c r="F2" s="30"/>
      <c r="G2" s="3"/>
      <c r="H2" s="3"/>
      <c r="I2" s="3"/>
      <c r="J2" s="3"/>
      <c r="K2" s="3"/>
      <c r="L2" s="3"/>
      <c r="M2" s="3"/>
      <c r="N2" s="3"/>
      <c r="O2" s="3"/>
    </row>
    <row r="3" spans="1:18" ht="147" customHeight="1" x14ac:dyDescent="0.25">
      <c r="A3" s="25"/>
      <c r="B3" s="25"/>
      <c r="D3" s="104" t="s">
        <v>437</v>
      </c>
      <c r="E3" s="104"/>
      <c r="F3" s="104"/>
      <c r="G3" s="3"/>
      <c r="H3" s="3"/>
      <c r="I3" s="3"/>
      <c r="J3" s="3"/>
      <c r="K3" s="3"/>
      <c r="L3" s="3"/>
      <c r="M3" s="3"/>
      <c r="N3" s="3"/>
      <c r="O3" s="3"/>
    </row>
    <row r="4" spans="1:18" x14ac:dyDescent="0.25">
      <c r="A4" s="25"/>
      <c r="B4" s="25"/>
      <c r="C4" s="25"/>
      <c r="D4" s="25"/>
      <c r="E4" s="25"/>
      <c r="F4" s="25"/>
      <c r="G4" s="1"/>
    </row>
    <row r="5" spans="1:18" x14ac:dyDescent="0.25">
      <c r="A5" s="26"/>
      <c r="B5" s="105" t="s">
        <v>2</v>
      </c>
      <c r="C5" s="105"/>
      <c r="D5" s="105"/>
      <c r="E5" s="105"/>
      <c r="F5" s="105"/>
      <c r="G5" s="4"/>
      <c r="H5" s="4"/>
      <c r="I5" s="4"/>
      <c r="J5" s="4"/>
      <c r="K5" s="4"/>
      <c r="L5" s="4"/>
      <c r="M5" s="1"/>
      <c r="N5" s="1"/>
      <c r="O5" s="1"/>
    </row>
    <row r="6" spans="1:18" x14ac:dyDescent="0.25">
      <c r="A6" s="26"/>
      <c r="B6" s="105" t="s">
        <v>238</v>
      </c>
      <c r="C6" s="105"/>
      <c r="D6" s="105"/>
      <c r="E6" s="105"/>
      <c r="F6" s="105"/>
      <c r="G6" s="1"/>
      <c r="H6" s="1"/>
      <c r="I6" s="1"/>
      <c r="J6" s="1"/>
      <c r="K6" s="1"/>
      <c r="L6" s="1"/>
      <c r="M6" s="1"/>
      <c r="N6" s="1"/>
      <c r="O6" s="1"/>
    </row>
    <row r="7" spans="1:18" x14ac:dyDescent="0.25">
      <c r="A7" s="26"/>
      <c r="B7" s="26"/>
      <c r="C7" s="26"/>
      <c r="D7" s="26"/>
      <c r="E7" s="26"/>
      <c r="F7" s="26"/>
      <c r="G7" s="1"/>
      <c r="H7" s="1"/>
      <c r="I7" s="1"/>
      <c r="J7" s="1"/>
      <c r="K7" s="1"/>
      <c r="L7" s="1"/>
      <c r="M7" s="1"/>
      <c r="N7" s="1"/>
      <c r="O7" s="1"/>
    </row>
    <row r="8" spans="1:18" ht="23.25" customHeight="1" x14ac:dyDescent="0.25">
      <c r="A8" s="27" t="s">
        <v>419</v>
      </c>
      <c r="B8" s="27" t="s">
        <v>1</v>
      </c>
      <c r="C8" s="27" t="s">
        <v>4</v>
      </c>
      <c r="D8" s="106" t="s">
        <v>5</v>
      </c>
      <c r="E8" s="106"/>
      <c r="F8" s="107" t="s">
        <v>6</v>
      </c>
      <c r="G8" s="1"/>
    </row>
    <row r="9" spans="1:18" ht="34.5" customHeight="1" x14ac:dyDescent="0.25">
      <c r="A9" s="27" t="s">
        <v>0</v>
      </c>
      <c r="B9" s="27" t="s">
        <v>3</v>
      </c>
      <c r="C9" s="27" t="s">
        <v>240</v>
      </c>
      <c r="D9" s="27" t="s">
        <v>7</v>
      </c>
      <c r="E9" s="27" t="s">
        <v>8</v>
      </c>
      <c r="F9" s="108"/>
      <c r="G9" s="1"/>
    </row>
    <row r="10" spans="1:18" x14ac:dyDescent="0.25">
      <c r="A10" s="27">
        <v>1</v>
      </c>
      <c r="B10" s="27">
        <v>2</v>
      </c>
      <c r="C10" s="27">
        <v>3</v>
      </c>
      <c r="D10" s="27">
        <v>4</v>
      </c>
      <c r="E10" s="27">
        <v>5</v>
      </c>
      <c r="F10" s="27">
        <v>6</v>
      </c>
      <c r="G10" s="1"/>
    </row>
    <row r="11" spans="1:18" ht="15" customHeight="1" x14ac:dyDescent="0.25">
      <c r="A11" s="94" t="s">
        <v>40</v>
      </c>
      <c r="B11" s="95"/>
      <c r="C11" s="95"/>
      <c r="D11" s="95"/>
      <c r="E11" s="95"/>
      <c r="F11" s="9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</row>
    <row r="12" spans="1:18" ht="90.75" customHeight="1" x14ac:dyDescent="0.25">
      <c r="A12" s="16" t="s">
        <v>444</v>
      </c>
      <c r="B12" s="16" t="s">
        <v>262</v>
      </c>
      <c r="C12" s="16" t="s">
        <v>225</v>
      </c>
      <c r="D12" s="16" t="s">
        <v>196</v>
      </c>
      <c r="E12" s="31" t="s">
        <v>425</v>
      </c>
      <c r="F12" s="16" t="s">
        <v>26</v>
      </c>
      <c r="G12" s="1"/>
    </row>
    <row r="13" spans="1:18" ht="50.1" customHeight="1" x14ac:dyDescent="0.25">
      <c r="A13" s="16" t="s">
        <v>445</v>
      </c>
      <c r="B13" s="16" t="s">
        <v>439</v>
      </c>
      <c r="C13" s="16" t="s">
        <v>225</v>
      </c>
      <c r="D13" s="16" t="s">
        <v>401</v>
      </c>
      <c r="E13" s="31" t="s">
        <v>425</v>
      </c>
      <c r="F13" s="16" t="s">
        <v>27</v>
      </c>
      <c r="G13" s="1"/>
    </row>
    <row r="14" spans="1:18" ht="50.1" customHeight="1" x14ac:dyDescent="0.25">
      <c r="A14" s="16" t="s">
        <v>446</v>
      </c>
      <c r="B14" s="16" t="s">
        <v>15</v>
      </c>
      <c r="C14" s="16" t="s">
        <v>225</v>
      </c>
      <c r="D14" s="16" t="s">
        <v>196</v>
      </c>
      <c r="E14" s="31" t="s">
        <v>425</v>
      </c>
      <c r="F14" s="16" t="s">
        <v>27</v>
      </c>
      <c r="G14" s="1"/>
    </row>
    <row r="15" spans="1:18" ht="53.25" customHeight="1" x14ac:dyDescent="0.25">
      <c r="A15" s="16" t="s">
        <v>447</v>
      </c>
      <c r="B15" s="16" t="s">
        <v>16</v>
      </c>
      <c r="C15" s="16" t="s">
        <v>225</v>
      </c>
      <c r="D15" s="16" t="s">
        <v>196</v>
      </c>
      <c r="E15" s="31" t="s">
        <v>425</v>
      </c>
      <c r="F15" s="16" t="s">
        <v>28</v>
      </c>
      <c r="G15" s="1"/>
    </row>
    <row r="16" spans="1:18" ht="50.1" customHeight="1" x14ac:dyDescent="0.25">
      <c r="A16" s="16" t="s">
        <v>448</v>
      </c>
      <c r="B16" s="16" t="s">
        <v>319</v>
      </c>
      <c r="C16" s="16" t="s">
        <v>225</v>
      </c>
      <c r="D16" s="16" t="s">
        <v>196</v>
      </c>
      <c r="E16" s="31" t="s">
        <v>425</v>
      </c>
      <c r="F16" s="16" t="s">
        <v>29</v>
      </c>
      <c r="G16" s="1"/>
    </row>
    <row r="17" spans="1:7" ht="50.1" customHeight="1" x14ac:dyDescent="0.25">
      <c r="A17" s="16" t="s">
        <v>449</v>
      </c>
      <c r="B17" s="16" t="s">
        <v>17</v>
      </c>
      <c r="C17" s="16" t="s">
        <v>225</v>
      </c>
      <c r="D17" s="16" t="s">
        <v>196</v>
      </c>
      <c r="E17" s="31" t="s">
        <v>425</v>
      </c>
      <c r="F17" s="16" t="s">
        <v>199</v>
      </c>
      <c r="G17" s="1"/>
    </row>
    <row r="18" spans="1:7" ht="50.1" customHeight="1" x14ac:dyDescent="0.25">
      <c r="A18" s="16" t="s">
        <v>450</v>
      </c>
      <c r="B18" s="16" t="s">
        <v>18</v>
      </c>
      <c r="C18" s="16" t="s">
        <v>225</v>
      </c>
      <c r="D18" s="16" t="s">
        <v>401</v>
      </c>
      <c r="E18" s="31" t="s">
        <v>425</v>
      </c>
      <c r="F18" s="16" t="s">
        <v>30</v>
      </c>
      <c r="G18" s="1"/>
    </row>
    <row r="19" spans="1:7" ht="50.1" customHeight="1" x14ac:dyDescent="0.25">
      <c r="A19" s="16" t="s">
        <v>451</v>
      </c>
      <c r="B19" s="16" t="s">
        <v>19</v>
      </c>
      <c r="C19" s="16" t="s">
        <v>225</v>
      </c>
      <c r="D19" s="16" t="s">
        <v>401</v>
      </c>
      <c r="E19" s="31" t="s">
        <v>425</v>
      </c>
      <c r="F19" s="16" t="s">
        <v>31</v>
      </c>
      <c r="G19" s="1"/>
    </row>
    <row r="20" spans="1:7" ht="81.75" customHeight="1" x14ac:dyDescent="0.25">
      <c r="A20" s="16" t="s">
        <v>452</v>
      </c>
      <c r="B20" s="16" t="s">
        <v>288</v>
      </c>
      <c r="C20" s="16" t="s">
        <v>225</v>
      </c>
      <c r="D20" s="16" t="s">
        <v>196</v>
      </c>
      <c r="E20" s="31" t="s">
        <v>425</v>
      </c>
      <c r="F20" s="16" t="s">
        <v>32</v>
      </c>
      <c r="G20" s="1"/>
    </row>
    <row r="21" spans="1:7" ht="50.1" customHeight="1" x14ac:dyDescent="0.25">
      <c r="A21" s="16" t="s">
        <v>453</v>
      </c>
      <c r="B21" s="16" t="s">
        <v>20</v>
      </c>
      <c r="C21" s="16" t="s">
        <v>225</v>
      </c>
      <c r="D21" s="16" t="s">
        <v>196</v>
      </c>
      <c r="E21" s="31" t="s">
        <v>425</v>
      </c>
      <c r="F21" s="16" t="s">
        <v>33</v>
      </c>
      <c r="G21" s="1"/>
    </row>
    <row r="22" spans="1:7" ht="67.5" customHeight="1" x14ac:dyDescent="0.25">
      <c r="A22" s="16" t="s">
        <v>454</v>
      </c>
      <c r="B22" s="16" t="s">
        <v>421</v>
      </c>
      <c r="C22" s="16" t="s">
        <v>225</v>
      </c>
      <c r="D22" s="16" t="s">
        <v>196</v>
      </c>
      <c r="E22" s="31" t="s">
        <v>425</v>
      </c>
      <c r="F22" s="16" t="s">
        <v>34</v>
      </c>
      <c r="G22" s="1"/>
    </row>
    <row r="23" spans="1:7" ht="50.1" customHeight="1" x14ac:dyDescent="0.25">
      <c r="A23" s="16" t="s">
        <v>455</v>
      </c>
      <c r="B23" s="16" t="s">
        <v>21</v>
      </c>
      <c r="C23" s="16" t="s">
        <v>225</v>
      </c>
      <c r="D23" s="16" t="s">
        <v>196</v>
      </c>
      <c r="E23" s="31" t="s">
        <v>425</v>
      </c>
      <c r="F23" s="16" t="s">
        <v>35</v>
      </c>
      <c r="G23" s="1"/>
    </row>
    <row r="24" spans="1:7" ht="99" customHeight="1" x14ac:dyDescent="0.25">
      <c r="A24" s="16" t="s">
        <v>456</v>
      </c>
      <c r="B24" s="16" t="s">
        <v>412</v>
      </c>
      <c r="C24" s="16" t="s">
        <v>249</v>
      </c>
      <c r="D24" s="16" t="s">
        <v>196</v>
      </c>
      <c r="E24" s="31" t="s">
        <v>425</v>
      </c>
      <c r="F24" s="16" t="s">
        <v>36</v>
      </c>
      <c r="G24" s="1"/>
    </row>
    <row r="25" spans="1:7" ht="102.75" customHeight="1" x14ac:dyDescent="0.25">
      <c r="A25" s="16" t="s">
        <v>457</v>
      </c>
      <c r="B25" s="16" t="s">
        <v>236</v>
      </c>
      <c r="C25" s="16" t="s">
        <v>249</v>
      </c>
      <c r="D25" s="16" t="s">
        <v>196</v>
      </c>
      <c r="E25" s="31" t="s">
        <v>425</v>
      </c>
      <c r="F25" s="16" t="s">
        <v>37</v>
      </c>
      <c r="G25" s="1"/>
    </row>
    <row r="26" spans="1:7" ht="93" customHeight="1" x14ac:dyDescent="0.25">
      <c r="A26" s="16" t="s">
        <v>458</v>
      </c>
      <c r="B26" s="16" t="s">
        <v>237</v>
      </c>
      <c r="C26" s="16" t="s">
        <v>249</v>
      </c>
      <c r="D26" s="16" t="s">
        <v>196</v>
      </c>
      <c r="E26" s="31" t="s">
        <v>425</v>
      </c>
      <c r="F26" s="16" t="s">
        <v>38</v>
      </c>
      <c r="G26" s="1"/>
    </row>
    <row r="27" spans="1:7" ht="93" customHeight="1" x14ac:dyDescent="0.25">
      <c r="A27" s="16" t="s">
        <v>459</v>
      </c>
      <c r="B27" s="16" t="s">
        <v>440</v>
      </c>
      <c r="C27" s="16" t="s">
        <v>249</v>
      </c>
      <c r="D27" s="16" t="s">
        <v>196</v>
      </c>
      <c r="E27" s="31" t="s">
        <v>425</v>
      </c>
      <c r="F27" s="16" t="s">
        <v>39</v>
      </c>
      <c r="G27" s="1"/>
    </row>
    <row r="28" spans="1:7" ht="99.75" customHeight="1" x14ac:dyDescent="0.25">
      <c r="A28" s="16" t="s">
        <v>460</v>
      </c>
      <c r="B28" s="16" t="s">
        <v>23</v>
      </c>
      <c r="C28" s="16" t="s">
        <v>249</v>
      </c>
      <c r="D28" s="16" t="s">
        <v>196</v>
      </c>
      <c r="E28" s="31" t="s">
        <v>425</v>
      </c>
      <c r="F28" s="16" t="s">
        <v>200</v>
      </c>
      <c r="G28" s="1"/>
    </row>
    <row r="29" spans="1:7" ht="93" customHeight="1" x14ac:dyDescent="0.25">
      <c r="A29" s="16" t="s">
        <v>461</v>
      </c>
      <c r="B29" s="16" t="s">
        <v>250</v>
      </c>
      <c r="C29" s="16" t="s">
        <v>249</v>
      </c>
      <c r="D29" s="16" t="s">
        <v>196</v>
      </c>
      <c r="E29" s="31" t="s">
        <v>425</v>
      </c>
      <c r="F29" s="16" t="s">
        <v>212</v>
      </c>
      <c r="G29" s="1"/>
    </row>
    <row r="30" spans="1:7" ht="93.75" customHeight="1" x14ac:dyDescent="0.25">
      <c r="A30" s="16" t="s">
        <v>462</v>
      </c>
      <c r="B30" s="16" t="s">
        <v>242</v>
      </c>
      <c r="C30" s="16" t="s">
        <v>249</v>
      </c>
      <c r="D30" s="16" t="s">
        <v>196</v>
      </c>
      <c r="E30" s="31" t="s">
        <v>425</v>
      </c>
      <c r="F30" s="16" t="s">
        <v>202</v>
      </c>
      <c r="G30" s="1"/>
    </row>
    <row r="31" spans="1:7" ht="90.75" customHeight="1" x14ac:dyDescent="0.25">
      <c r="A31" s="16" t="s">
        <v>463</v>
      </c>
      <c r="B31" s="16" t="s">
        <v>191</v>
      </c>
      <c r="C31" s="16" t="s">
        <v>249</v>
      </c>
      <c r="D31" s="16" t="s">
        <v>196</v>
      </c>
      <c r="E31" s="31" t="s">
        <v>425</v>
      </c>
      <c r="F31" s="16" t="s">
        <v>213</v>
      </c>
      <c r="G31" s="1"/>
    </row>
    <row r="32" spans="1:7" ht="25.5" customHeight="1" x14ac:dyDescent="0.25">
      <c r="A32" s="16" t="s">
        <v>464</v>
      </c>
      <c r="B32" s="16" t="s">
        <v>24</v>
      </c>
      <c r="C32" s="16" t="s">
        <v>25</v>
      </c>
      <c r="D32" s="16" t="s">
        <v>196</v>
      </c>
      <c r="E32" s="31" t="s">
        <v>425</v>
      </c>
      <c r="F32" s="16" t="s">
        <v>201</v>
      </c>
      <c r="G32" s="1"/>
    </row>
    <row r="33" spans="1:7" ht="96" customHeight="1" x14ac:dyDescent="0.25">
      <c r="A33" s="16" t="s">
        <v>465</v>
      </c>
      <c r="B33" s="16" t="s">
        <v>304</v>
      </c>
      <c r="C33" s="16" t="s">
        <v>249</v>
      </c>
      <c r="D33" s="16" t="s">
        <v>196</v>
      </c>
      <c r="E33" s="31" t="s">
        <v>425</v>
      </c>
      <c r="F33" s="16" t="s">
        <v>68</v>
      </c>
      <c r="G33" s="1"/>
    </row>
    <row r="34" spans="1:7" ht="17.25" customHeight="1" x14ac:dyDescent="0.25">
      <c r="A34" s="97" t="s">
        <v>41</v>
      </c>
      <c r="B34" s="98"/>
      <c r="C34" s="98"/>
      <c r="D34" s="98"/>
      <c r="E34" s="98"/>
      <c r="F34" s="99"/>
      <c r="G34" s="1"/>
    </row>
    <row r="35" spans="1:7" ht="80.25" customHeight="1" x14ac:dyDescent="0.25">
      <c r="A35" s="16" t="s">
        <v>466</v>
      </c>
      <c r="B35" s="16" t="s">
        <v>203</v>
      </c>
      <c r="C35" s="16" t="s">
        <v>226</v>
      </c>
      <c r="D35" s="16" t="s">
        <v>196</v>
      </c>
      <c r="E35" s="32" t="s">
        <v>425</v>
      </c>
      <c r="F35" s="16" t="s">
        <v>49</v>
      </c>
    </row>
    <row r="36" spans="1:7" ht="105.75" customHeight="1" x14ac:dyDescent="0.25">
      <c r="A36" s="16" t="s">
        <v>467</v>
      </c>
      <c r="B36" s="16" t="s">
        <v>441</v>
      </c>
      <c r="C36" s="16" t="s">
        <v>226</v>
      </c>
      <c r="D36" s="16" t="s">
        <v>196</v>
      </c>
      <c r="E36" s="32" t="s">
        <v>425</v>
      </c>
      <c r="F36" s="16" t="s">
        <v>50</v>
      </c>
    </row>
    <row r="37" spans="1:7" ht="50.1" customHeight="1" x14ac:dyDescent="0.25">
      <c r="A37" s="16" t="s">
        <v>468</v>
      </c>
      <c r="B37" s="16" t="s">
        <v>271</v>
      </c>
      <c r="C37" s="16" t="s">
        <v>226</v>
      </c>
      <c r="D37" s="16" t="s">
        <v>196</v>
      </c>
      <c r="E37" s="32" t="s">
        <v>425</v>
      </c>
      <c r="F37" s="16" t="s">
        <v>50</v>
      </c>
    </row>
    <row r="38" spans="1:7" ht="50.1" customHeight="1" x14ac:dyDescent="0.25">
      <c r="A38" s="16" t="s">
        <v>469</v>
      </c>
      <c r="B38" s="16" t="s">
        <v>43</v>
      </c>
      <c r="C38" s="16" t="s">
        <v>226</v>
      </c>
      <c r="D38" s="16" t="s">
        <v>196</v>
      </c>
      <c r="E38" s="32" t="s">
        <v>425</v>
      </c>
      <c r="F38" s="16" t="s">
        <v>49</v>
      </c>
    </row>
    <row r="39" spans="1:7" ht="54.75" customHeight="1" x14ac:dyDescent="0.25">
      <c r="A39" s="16" t="s">
        <v>470</v>
      </c>
      <c r="B39" s="16" t="s">
        <v>44</v>
      </c>
      <c r="C39" s="16" t="s">
        <v>226</v>
      </c>
      <c r="D39" s="16" t="s">
        <v>196</v>
      </c>
      <c r="E39" s="32" t="s">
        <v>425</v>
      </c>
      <c r="F39" s="16" t="s">
        <v>204</v>
      </c>
    </row>
    <row r="40" spans="1:7" ht="76.5" customHeight="1" x14ac:dyDescent="0.25">
      <c r="A40" s="16" t="s">
        <v>471</v>
      </c>
      <c r="B40" s="16" t="s">
        <v>45</v>
      </c>
      <c r="C40" s="16" t="s">
        <v>226</v>
      </c>
      <c r="D40" s="16" t="s">
        <v>196</v>
      </c>
      <c r="E40" s="32" t="s">
        <v>425</v>
      </c>
      <c r="F40" s="16" t="s">
        <v>51</v>
      </c>
    </row>
    <row r="41" spans="1:7" ht="50.1" customHeight="1" x14ac:dyDescent="0.25">
      <c r="A41" s="16" t="s">
        <v>472</v>
      </c>
      <c r="B41" s="16" t="s">
        <v>272</v>
      </c>
      <c r="C41" s="16" t="s">
        <v>226</v>
      </c>
      <c r="D41" s="16" t="s">
        <v>196</v>
      </c>
      <c r="E41" s="32" t="s">
        <v>425</v>
      </c>
      <c r="F41" s="16" t="s">
        <v>214</v>
      </c>
    </row>
    <row r="42" spans="1:7" ht="65.25" customHeight="1" x14ac:dyDescent="0.25">
      <c r="A42" s="16" t="s">
        <v>473</v>
      </c>
      <c r="B42" s="16" t="s">
        <v>46</v>
      </c>
      <c r="C42" s="16" t="s">
        <v>251</v>
      </c>
      <c r="D42" s="16" t="s">
        <v>196</v>
      </c>
      <c r="E42" s="16" t="s">
        <v>425</v>
      </c>
      <c r="F42" s="16" t="s">
        <v>443</v>
      </c>
    </row>
    <row r="43" spans="1:7" ht="69" customHeight="1" x14ac:dyDescent="0.25">
      <c r="A43" s="16" t="s">
        <v>474</v>
      </c>
      <c r="B43" s="16" t="s">
        <v>413</v>
      </c>
      <c r="C43" s="16" t="s">
        <v>251</v>
      </c>
      <c r="D43" s="16" t="s">
        <v>196</v>
      </c>
      <c r="E43" s="16" t="s">
        <v>425</v>
      </c>
      <c r="F43" s="16" t="s">
        <v>52</v>
      </c>
    </row>
    <row r="44" spans="1:7" ht="53.25" customHeight="1" x14ac:dyDescent="0.25">
      <c r="A44" s="16" t="s">
        <v>475</v>
      </c>
      <c r="B44" s="16" t="s">
        <v>414</v>
      </c>
      <c r="C44" s="16" t="s">
        <v>442</v>
      </c>
      <c r="D44" s="16" t="s">
        <v>196</v>
      </c>
      <c r="E44" s="16" t="s">
        <v>425</v>
      </c>
      <c r="F44" s="16" t="s">
        <v>434</v>
      </c>
    </row>
    <row r="45" spans="1:7" s="12" customFormat="1" ht="50.1" customHeight="1" x14ac:dyDescent="0.25">
      <c r="A45" s="16" t="s">
        <v>476</v>
      </c>
      <c r="B45" s="16" t="s">
        <v>313</v>
      </c>
      <c r="C45" s="16" t="s">
        <v>226</v>
      </c>
      <c r="D45" s="16" t="s">
        <v>196</v>
      </c>
      <c r="E45" s="16" t="s">
        <v>425</v>
      </c>
      <c r="F45" s="16" t="s">
        <v>49</v>
      </c>
    </row>
    <row r="46" spans="1:7" ht="50.1" customHeight="1" x14ac:dyDescent="0.25">
      <c r="A46" s="16" t="s">
        <v>477</v>
      </c>
      <c r="B46" s="16" t="s">
        <v>47</v>
      </c>
      <c r="C46" s="16" t="s">
        <v>226</v>
      </c>
      <c r="D46" s="16" t="s">
        <v>196</v>
      </c>
      <c r="E46" s="16" t="s">
        <v>425</v>
      </c>
      <c r="F46" s="16" t="s">
        <v>49</v>
      </c>
    </row>
    <row r="47" spans="1:7" ht="50.1" customHeight="1" x14ac:dyDescent="0.25">
      <c r="A47" s="16" t="s">
        <v>478</v>
      </c>
      <c r="B47" s="16" t="s">
        <v>248</v>
      </c>
      <c r="C47" s="16" t="s">
        <v>226</v>
      </c>
      <c r="D47" s="16" t="s">
        <v>196</v>
      </c>
      <c r="E47" s="16" t="s">
        <v>425</v>
      </c>
      <c r="F47" s="16" t="s">
        <v>51</v>
      </c>
    </row>
    <row r="48" spans="1:7" ht="50.1" customHeight="1" x14ac:dyDescent="0.25">
      <c r="A48" s="16" t="s">
        <v>479</v>
      </c>
      <c r="B48" s="16" t="s">
        <v>48</v>
      </c>
      <c r="C48" s="16" t="s">
        <v>226</v>
      </c>
      <c r="D48" s="16" t="s">
        <v>196</v>
      </c>
      <c r="E48" s="32" t="s">
        <v>425</v>
      </c>
      <c r="F48" s="16" t="s">
        <v>78</v>
      </c>
    </row>
    <row r="49" spans="1:17" x14ac:dyDescent="0.25">
      <c r="A49" s="92" t="s">
        <v>53</v>
      </c>
      <c r="B49" s="92"/>
      <c r="C49" s="92"/>
      <c r="D49" s="92"/>
      <c r="E49" s="92"/>
      <c r="F49" s="92"/>
      <c r="G49" s="7"/>
      <c r="H49" s="7"/>
      <c r="I49" s="7"/>
      <c r="J49" s="7"/>
      <c r="K49" s="7"/>
      <c r="L49" s="7"/>
      <c r="M49" s="7"/>
      <c r="N49" s="7"/>
      <c r="O49" s="7"/>
      <c r="P49" s="7"/>
      <c r="Q49" s="7"/>
    </row>
    <row r="50" spans="1:17" ht="50.1" customHeight="1" x14ac:dyDescent="0.25">
      <c r="A50" s="16" t="s">
        <v>480</v>
      </c>
      <c r="B50" s="16" t="s">
        <v>268</v>
      </c>
      <c r="C50" s="16" t="s">
        <v>227</v>
      </c>
      <c r="D50" s="32" t="s">
        <v>196</v>
      </c>
      <c r="E50" s="32" t="s">
        <v>425</v>
      </c>
      <c r="F50" s="16" t="s">
        <v>56</v>
      </c>
    </row>
    <row r="51" spans="1:17" ht="58.5" customHeight="1" x14ac:dyDescent="0.25">
      <c r="A51" s="16" t="s">
        <v>481</v>
      </c>
      <c r="B51" s="16" t="s">
        <v>267</v>
      </c>
      <c r="C51" s="16" t="s">
        <v>227</v>
      </c>
      <c r="D51" s="32" t="s">
        <v>196</v>
      </c>
      <c r="E51" s="32" t="s">
        <v>425</v>
      </c>
      <c r="F51" s="16" t="s">
        <v>215</v>
      </c>
    </row>
    <row r="52" spans="1:17" ht="50.1" customHeight="1" x14ac:dyDescent="0.25">
      <c r="A52" s="16" t="s">
        <v>482</v>
      </c>
      <c r="B52" s="16" t="s">
        <v>54</v>
      </c>
      <c r="C52" s="16" t="s">
        <v>227</v>
      </c>
      <c r="D52" s="32" t="s">
        <v>196</v>
      </c>
      <c r="E52" s="32" t="s">
        <v>425</v>
      </c>
      <c r="F52" s="16" t="s">
        <v>57</v>
      </c>
    </row>
    <row r="53" spans="1:17" ht="50.1" customHeight="1" x14ac:dyDescent="0.25">
      <c r="A53" s="16" t="s">
        <v>483</v>
      </c>
      <c r="B53" s="16" t="s">
        <v>266</v>
      </c>
      <c r="C53" s="16" t="s">
        <v>227</v>
      </c>
      <c r="D53" s="32" t="s">
        <v>196</v>
      </c>
      <c r="E53" s="32" t="s">
        <v>425</v>
      </c>
      <c r="F53" s="16" t="s">
        <v>216</v>
      </c>
    </row>
    <row r="54" spans="1:17" ht="50.1" customHeight="1" x14ac:dyDescent="0.25">
      <c r="A54" s="16" t="s">
        <v>484</v>
      </c>
      <c r="B54" s="16" t="s">
        <v>55</v>
      </c>
      <c r="C54" s="16" t="s">
        <v>227</v>
      </c>
      <c r="D54" s="32" t="s">
        <v>196</v>
      </c>
      <c r="E54" s="32" t="s">
        <v>425</v>
      </c>
      <c r="F54" s="16" t="s">
        <v>207</v>
      </c>
    </row>
    <row r="55" spans="1:17" ht="15.75" customHeight="1" x14ac:dyDescent="0.25">
      <c r="A55" s="97" t="s">
        <v>274</v>
      </c>
      <c r="B55" s="98"/>
      <c r="C55" s="98"/>
      <c r="D55" s="98"/>
      <c r="E55" s="98"/>
      <c r="F55" s="99"/>
    </row>
    <row r="56" spans="1:17" ht="54" customHeight="1" x14ac:dyDescent="0.25">
      <c r="A56" s="16" t="s">
        <v>485</v>
      </c>
      <c r="B56" s="16" t="s">
        <v>59</v>
      </c>
      <c r="C56" s="16" t="s">
        <v>507</v>
      </c>
      <c r="D56" s="31" t="s">
        <v>402</v>
      </c>
      <c r="E56" s="32" t="s">
        <v>425</v>
      </c>
      <c r="F56" s="16" t="s">
        <v>208</v>
      </c>
    </row>
    <row r="57" spans="1:17" ht="53.25" customHeight="1" x14ac:dyDescent="0.25">
      <c r="A57" s="16" t="s">
        <v>486</v>
      </c>
      <c r="B57" s="16" t="s">
        <v>60</v>
      </c>
      <c r="C57" s="16" t="s">
        <v>507</v>
      </c>
      <c r="D57" s="32" t="s">
        <v>196</v>
      </c>
      <c r="E57" s="32" t="s">
        <v>425</v>
      </c>
      <c r="F57" s="16" t="s">
        <v>217</v>
      </c>
    </row>
    <row r="58" spans="1:17" ht="54.75" customHeight="1" x14ac:dyDescent="0.25">
      <c r="A58" s="16" t="s">
        <v>487</v>
      </c>
      <c r="B58" s="16" t="s">
        <v>325</v>
      </c>
      <c r="C58" s="16" t="s">
        <v>507</v>
      </c>
      <c r="D58" s="32" t="s">
        <v>196</v>
      </c>
      <c r="E58" s="32" t="s">
        <v>425</v>
      </c>
      <c r="F58" s="16" t="s">
        <v>275</v>
      </c>
    </row>
    <row r="59" spans="1:17" ht="53.25" customHeight="1" x14ac:dyDescent="0.25">
      <c r="A59" s="16" t="s">
        <v>488</v>
      </c>
      <c r="B59" s="16" t="s">
        <v>61</v>
      </c>
      <c r="C59" s="16" t="s">
        <v>321</v>
      </c>
      <c r="D59" s="32" t="s">
        <v>196</v>
      </c>
      <c r="E59" s="32" t="s">
        <v>425</v>
      </c>
      <c r="F59" s="16" t="s">
        <v>265</v>
      </c>
    </row>
    <row r="60" spans="1:17" ht="54" customHeight="1" x14ac:dyDescent="0.25">
      <c r="A60" s="16" t="s">
        <v>489</v>
      </c>
      <c r="B60" s="16" t="s">
        <v>323</v>
      </c>
      <c r="C60" s="16" t="s">
        <v>508</v>
      </c>
      <c r="D60" s="32" t="s">
        <v>196</v>
      </c>
      <c r="E60" s="32" t="s">
        <v>425</v>
      </c>
      <c r="F60" s="16" t="s">
        <v>67</v>
      </c>
    </row>
    <row r="61" spans="1:17" ht="53.25" customHeight="1" x14ac:dyDescent="0.25">
      <c r="A61" s="16" t="s">
        <v>490</v>
      </c>
      <c r="B61" s="16" t="s">
        <v>62</v>
      </c>
      <c r="C61" s="16" t="s">
        <v>507</v>
      </c>
      <c r="D61" s="32" t="s">
        <v>196</v>
      </c>
      <c r="E61" s="32" t="s">
        <v>425</v>
      </c>
      <c r="F61" s="16" t="s">
        <v>68</v>
      </c>
    </row>
    <row r="62" spans="1:17" ht="51.75" customHeight="1" x14ac:dyDescent="0.25">
      <c r="A62" s="16" t="s">
        <v>491</v>
      </c>
      <c r="B62" s="16" t="s">
        <v>63</v>
      </c>
      <c r="C62" s="16" t="s">
        <v>507</v>
      </c>
      <c r="D62" s="32" t="s">
        <v>196</v>
      </c>
      <c r="E62" s="32" t="s">
        <v>425</v>
      </c>
      <c r="F62" s="16" t="s">
        <v>209</v>
      </c>
    </row>
    <row r="63" spans="1:17" ht="51.75" customHeight="1" x14ac:dyDescent="0.25">
      <c r="A63" s="16" t="s">
        <v>492</v>
      </c>
      <c r="B63" s="16" t="s">
        <v>64</v>
      </c>
      <c r="C63" s="16" t="s">
        <v>507</v>
      </c>
      <c r="D63" s="32" t="s">
        <v>196</v>
      </c>
      <c r="E63" s="32" t="s">
        <v>425</v>
      </c>
      <c r="F63" s="16" t="s">
        <v>78</v>
      </c>
    </row>
    <row r="64" spans="1:17" x14ac:dyDescent="0.25">
      <c r="A64" s="100" t="s">
        <v>221</v>
      </c>
      <c r="B64" s="101"/>
      <c r="C64" s="101"/>
      <c r="D64" s="101"/>
      <c r="E64" s="101"/>
      <c r="F64" s="101"/>
      <c r="G64" s="7"/>
      <c r="H64" s="7"/>
      <c r="I64" s="7"/>
      <c r="J64" s="7"/>
      <c r="K64" s="7"/>
      <c r="L64" s="7"/>
      <c r="M64" s="7"/>
      <c r="N64" s="7"/>
      <c r="O64" s="7"/>
      <c r="P64" s="7"/>
      <c r="Q64" s="7"/>
    </row>
    <row r="65" spans="1:17" ht="40.5" customHeight="1" x14ac:dyDescent="0.25">
      <c r="A65" s="16" t="s">
        <v>406</v>
      </c>
      <c r="B65" s="16" t="s">
        <v>407</v>
      </c>
      <c r="C65" s="16" t="s">
        <v>403</v>
      </c>
      <c r="D65" s="32" t="s">
        <v>196</v>
      </c>
      <c r="E65" s="32" t="s">
        <v>425</v>
      </c>
      <c r="F65" s="16" t="s">
        <v>74</v>
      </c>
    </row>
    <row r="66" spans="1:17" x14ac:dyDescent="0.25">
      <c r="A66" s="53" t="s">
        <v>361</v>
      </c>
      <c r="B66" s="53" t="s">
        <v>370</v>
      </c>
      <c r="C66" s="93" t="s">
        <v>293</v>
      </c>
      <c r="D66" s="92" t="s">
        <v>196</v>
      </c>
      <c r="E66" s="92" t="s">
        <v>425</v>
      </c>
      <c r="F66" s="93" t="s">
        <v>74</v>
      </c>
      <c r="G66" s="7"/>
      <c r="H66" s="7"/>
      <c r="I66" s="7"/>
      <c r="J66" s="7"/>
      <c r="K66" s="7"/>
      <c r="L66" s="7"/>
      <c r="M66" s="7"/>
      <c r="N66" s="7"/>
      <c r="O66" s="7"/>
      <c r="P66" s="7"/>
      <c r="Q66" s="7"/>
    </row>
    <row r="67" spans="1:17" x14ac:dyDescent="0.25">
      <c r="A67" s="53" t="s">
        <v>362</v>
      </c>
      <c r="B67" s="53" t="s">
        <v>360</v>
      </c>
      <c r="C67" s="93"/>
      <c r="D67" s="92"/>
      <c r="E67" s="92"/>
      <c r="F67" s="93"/>
      <c r="G67" s="7"/>
      <c r="H67" s="7"/>
      <c r="I67" s="7"/>
      <c r="J67" s="7"/>
      <c r="K67" s="7"/>
      <c r="L67" s="7"/>
      <c r="M67" s="7"/>
      <c r="N67" s="7"/>
      <c r="O67" s="7"/>
      <c r="P67" s="7"/>
      <c r="Q67" s="7"/>
    </row>
    <row r="68" spans="1:17" x14ac:dyDescent="0.25">
      <c r="A68" s="53" t="s">
        <v>363</v>
      </c>
      <c r="B68" s="53" t="s">
        <v>367</v>
      </c>
      <c r="C68" s="93"/>
      <c r="D68" s="92"/>
      <c r="E68" s="92"/>
      <c r="F68" s="93"/>
      <c r="G68" s="7"/>
      <c r="H68" s="7"/>
      <c r="I68" s="7"/>
      <c r="J68" s="7"/>
      <c r="K68" s="7"/>
      <c r="L68" s="7"/>
      <c r="M68" s="7"/>
      <c r="N68" s="7"/>
      <c r="O68" s="7"/>
      <c r="P68" s="7"/>
      <c r="Q68" s="7"/>
    </row>
    <row r="69" spans="1:17" x14ac:dyDescent="0.25">
      <c r="A69" s="53" t="s">
        <v>364</v>
      </c>
      <c r="B69" s="53" t="s">
        <v>366</v>
      </c>
      <c r="C69" s="93"/>
      <c r="D69" s="92"/>
      <c r="E69" s="92"/>
      <c r="F69" s="93"/>
      <c r="G69" s="7"/>
      <c r="H69" s="7"/>
      <c r="I69" s="7"/>
      <c r="J69" s="7"/>
      <c r="K69" s="7"/>
      <c r="L69" s="7"/>
      <c r="M69" s="7"/>
      <c r="N69" s="7"/>
      <c r="O69" s="7"/>
      <c r="P69" s="7"/>
      <c r="Q69" s="7"/>
    </row>
    <row r="70" spans="1:17" x14ac:dyDescent="0.25">
      <c r="A70" s="53" t="s">
        <v>365</v>
      </c>
      <c r="B70" s="53" t="s">
        <v>66</v>
      </c>
      <c r="C70" s="93"/>
      <c r="D70" s="92"/>
      <c r="E70" s="92"/>
      <c r="F70" s="93"/>
      <c r="G70" s="7"/>
      <c r="H70" s="7"/>
      <c r="I70" s="7"/>
      <c r="J70" s="7"/>
      <c r="K70" s="7"/>
      <c r="L70" s="7"/>
      <c r="M70" s="7"/>
      <c r="N70" s="7"/>
      <c r="O70" s="7"/>
      <c r="P70" s="7"/>
      <c r="Q70" s="7"/>
    </row>
    <row r="71" spans="1:17" x14ac:dyDescent="0.25">
      <c r="A71" s="53" t="s">
        <v>368</v>
      </c>
      <c r="B71" s="53" t="s">
        <v>369</v>
      </c>
      <c r="C71" s="93" t="s">
        <v>509</v>
      </c>
      <c r="D71" s="92" t="s">
        <v>196</v>
      </c>
      <c r="E71" s="92" t="s">
        <v>425</v>
      </c>
      <c r="F71" s="93" t="s">
        <v>74</v>
      </c>
      <c r="G71" s="7"/>
      <c r="H71" s="7"/>
      <c r="I71" s="7"/>
      <c r="J71" s="7"/>
      <c r="K71" s="7"/>
      <c r="L71" s="7"/>
      <c r="M71" s="7"/>
      <c r="N71" s="7"/>
      <c r="O71" s="7"/>
      <c r="P71" s="7"/>
      <c r="Q71" s="7"/>
    </row>
    <row r="72" spans="1:17" x14ac:dyDescent="0.25">
      <c r="A72" s="53" t="s">
        <v>381</v>
      </c>
      <c r="B72" s="53" t="s">
        <v>360</v>
      </c>
      <c r="C72" s="93"/>
      <c r="D72" s="92"/>
      <c r="E72" s="92"/>
      <c r="F72" s="93"/>
      <c r="G72" s="7"/>
      <c r="H72" s="7"/>
      <c r="I72" s="7"/>
      <c r="J72" s="7"/>
      <c r="K72" s="7"/>
      <c r="L72" s="7"/>
      <c r="M72" s="7"/>
      <c r="N72" s="7"/>
      <c r="O72" s="7"/>
      <c r="P72" s="7"/>
      <c r="Q72" s="7"/>
    </row>
    <row r="73" spans="1:17" x14ac:dyDescent="0.25">
      <c r="A73" s="53" t="s">
        <v>382</v>
      </c>
      <c r="B73" s="53" t="s">
        <v>367</v>
      </c>
      <c r="C73" s="93"/>
      <c r="D73" s="92"/>
      <c r="E73" s="92"/>
      <c r="F73" s="93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</row>
    <row r="74" spans="1:17" x14ac:dyDescent="0.25">
      <c r="A74" s="53" t="s">
        <v>383</v>
      </c>
      <c r="B74" s="53" t="s">
        <v>366</v>
      </c>
      <c r="C74" s="93"/>
      <c r="D74" s="92"/>
      <c r="E74" s="92"/>
      <c r="F74" s="93"/>
      <c r="G74" s="7"/>
      <c r="H74" s="7"/>
      <c r="I74" s="7"/>
      <c r="J74" s="7"/>
      <c r="K74" s="7"/>
      <c r="L74" s="7"/>
      <c r="M74" s="7"/>
      <c r="N74" s="7"/>
    </row>
    <row r="75" spans="1:17" x14ac:dyDescent="0.25">
      <c r="A75" s="53" t="s">
        <v>384</v>
      </c>
      <c r="B75" s="53" t="s">
        <v>66</v>
      </c>
      <c r="C75" s="93"/>
      <c r="D75" s="92"/>
      <c r="E75" s="92"/>
      <c r="F75" s="93"/>
      <c r="G75" s="7"/>
      <c r="H75" s="7"/>
      <c r="I75" s="7"/>
      <c r="J75" s="7"/>
      <c r="K75" s="7"/>
      <c r="L75" s="7"/>
      <c r="M75" s="7"/>
      <c r="N75" s="7"/>
    </row>
    <row r="76" spans="1:17" ht="15" customHeight="1" x14ac:dyDescent="0.25">
      <c r="A76" s="53" t="s">
        <v>371</v>
      </c>
      <c r="B76" s="53" t="s">
        <v>372</v>
      </c>
      <c r="C76" s="93" t="s">
        <v>510</v>
      </c>
      <c r="D76" s="92" t="s">
        <v>196</v>
      </c>
      <c r="E76" s="92" t="s">
        <v>425</v>
      </c>
      <c r="F76" s="93" t="s">
        <v>74</v>
      </c>
      <c r="G76" s="7"/>
      <c r="H76" s="7"/>
      <c r="I76" s="7"/>
      <c r="J76" s="7"/>
      <c r="K76" s="7"/>
      <c r="L76" s="7"/>
      <c r="M76" s="7"/>
      <c r="N76" s="7"/>
    </row>
    <row r="77" spans="1:17" x14ac:dyDescent="0.25">
      <c r="A77" s="53" t="s">
        <v>385</v>
      </c>
      <c r="B77" s="53" t="s">
        <v>360</v>
      </c>
      <c r="C77" s="93"/>
      <c r="D77" s="92"/>
      <c r="E77" s="92"/>
      <c r="F77" s="93"/>
      <c r="G77" s="7"/>
      <c r="H77" s="7"/>
      <c r="I77" s="7"/>
      <c r="J77" s="7"/>
      <c r="K77" s="7"/>
      <c r="L77" s="7"/>
      <c r="M77" s="7"/>
      <c r="N77" s="7"/>
    </row>
    <row r="78" spans="1:17" x14ac:dyDescent="0.25">
      <c r="A78" s="53" t="s">
        <v>386</v>
      </c>
      <c r="B78" s="53" t="s">
        <v>367</v>
      </c>
      <c r="C78" s="93"/>
      <c r="D78" s="92"/>
      <c r="E78" s="92"/>
      <c r="F78" s="93"/>
      <c r="G78" s="7"/>
      <c r="H78" s="7"/>
      <c r="I78" s="7"/>
      <c r="J78" s="7"/>
      <c r="K78" s="7"/>
      <c r="L78" s="7"/>
      <c r="M78" s="7"/>
      <c r="N78" s="7"/>
    </row>
    <row r="79" spans="1:17" x14ac:dyDescent="0.25">
      <c r="A79" s="53" t="s">
        <v>387</v>
      </c>
      <c r="B79" s="53" t="s">
        <v>366</v>
      </c>
      <c r="C79" s="93"/>
      <c r="D79" s="92"/>
      <c r="E79" s="92"/>
      <c r="F79" s="93"/>
      <c r="G79" s="7"/>
      <c r="H79" s="7"/>
      <c r="I79" s="7"/>
      <c r="J79" s="7"/>
      <c r="K79" s="7"/>
      <c r="L79" s="7"/>
      <c r="M79" s="7"/>
      <c r="N79" s="7"/>
    </row>
    <row r="80" spans="1:17" x14ac:dyDescent="0.25">
      <c r="A80" s="53" t="s">
        <v>511</v>
      </c>
      <c r="B80" s="53" t="s">
        <v>66</v>
      </c>
      <c r="C80" s="93"/>
      <c r="D80" s="92"/>
      <c r="E80" s="92"/>
      <c r="F80" s="93"/>
      <c r="G80" s="7"/>
      <c r="H80" s="7"/>
      <c r="I80" s="7"/>
      <c r="J80" s="7"/>
      <c r="K80" s="7"/>
      <c r="L80" s="7"/>
      <c r="M80" s="7"/>
      <c r="N80" s="7"/>
    </row>
    <row r="81" spans="1:14" x14ac:dyDescent="0.25">
      <c r="A81" s="53" t="s">
        <v>378</v>
      </c>
      <c r="B81" s="53" t="s">
        <v>373</v>
      </c>
      <c r="C81" s="93" t="s">
        <v>376</v>
      </c>
      <c r="D81" s="92" t="s">
        <v>196</v>
      </c>
      <c r="E81" s="92" t="s">
        <v>425</v>
      </c>
      <c r="F81" s="93" t="s">
        <v>74</v>
      </c>
      <c r="G81" s="7"/>
      <c r="H81" s="7"/>
      <c r="I81" s="7"/>
      <c r="J81" s="7"/>
      <c r="K81" s="7"/>
      <c r="L81" s="7"/>
      <c r="M81" s="7"/>
      <c r="N81" s="7"/>
    </row>
    <row r="82" spans="1:14" x14ac:dyDescent="0.25">
      <c r="A82" s="53" t="s">
        <v>388</v>
      </c>
      <c r="B82" s="53" t="s">
        <v>360</v>
      </c>
      <c r="C82" s="93"/>
      <c r="D82" s="92"/>
      <c r="E82" s="92"/>
      <c r="F82" s="93"/>
      <c r="G82" s="7"/>
      <c r="H82" s="7"/>
      <c r="I82" s="7"/>
      <c r="J82" s="7"/>
      <c r="K82" s="7"/>
      <c r="L82" s="7"/>
      <c r="M82" s="7"/>
      <c r="N82" s="7"/>
    </row>
    <row r="83" spans="1:14" x14ac:dyDescent="0.25">
      <c r="A83" s="53" t="s">
        <v>389</v>
      </c>
      <c r="B83" s="53" t="s">
        <v>367</v>
      </c>
      <c r="C83" s="93"/>
      <c r="D83" s="92"/>
      <c r="E83" s="92"/>
      <c r="F83" s="93"/>
      <c r="G83" s="7"/>
      <c r="H83" s="7"/>
      <c r="I83" s="7"/>
      <c r="J83" s="7"/>
      <c r="K83" s="7"/>
      <c r="L83" s="7"/>
      <c r="M83" s="7"/>
      <c r="N83" s="7"/>
    </row>
    <row r="84" spans="1:14" x14ac:dyDescent="0.25">
      <c r="A84" s="53" t="s">
        <v>390</v>
      </c>
      <c r="B84" s="53" t="s">
        <v>366</v>
      </c>
      <c r="C84" s="93"/>
      <c r="D84" s="92"/>
      <c r="E84" s="92"/>
      <c r="F84" s="93"/>
      <c r="G84" s="7"/>
      <c r="H84" s="7"/>
      <c r="I84" s="7"/>
      <c r="J84" s="7"/>
      <c r="K84" s="7"/>
      <c r="L84" s="7"/>
      <c r="M84" s="7"/>
      <c r="N84" s="7"/>
    </row>
    <row r="85" spans="1:14" x14ac:dyDescent="0.25">
      <c r="A85" s="53" t="s">
        <v>391</v>
      </c>
      <c r="B85" s="53" t="s">
        <v>66</v>
      </c>
      <c r="C85" s="93"/>
      <c r="D85" s="92"/>
      <c r="E85" s="92"/>
      <c r="F85" s="93"/>
      <c r="G85" s="7"/>
      <c r="H85" s="7"/>
      <c r="I85" s="7"/>
      <c r="J85" s="7"/>
      <c r="K85" s="7"/>
      <c r="L85" s="7"/>
      <c r="M85" s="7"/>
      <c r="N85" s="7"/>
    </row>
    <row r="86" spans="1:14" x14ac:dyDescent="0.25">
      <c r="A86" s="53" t="s">
        <v>379</v>
      </c>
      <c r="B86" s="53" t="s">
        <v>377</v>
      </c>
      <c r="C86" s="93" t="s">
        <v>296</v>
      </c>
      <c r="D86" s="92" t="s">
        <v>196</v>
      </c>
      <c r="E86" s="92" t="s">
        <v>425</v>
      </c>
      <c r="F86" s="93" t="s">
        <v>74</v>
      </c>
      <c r="G86" s="7"/>
      <c r="H86" s="7"/>
      <c r="I86" s="7"/>
      <c r="J86" s="7"/>
      <c r="K86" s="7"/>
      <c r="L86" s="7"/>
      <c r="M86" s="7"/>
      <c r="N86" s="7"/>
    </row>
    <row r="87" spans="1:14" x14ac:dyDescent="0.25">
      <c r="A87" s="53" t="s">
        <v>392</v>
      </c>
      <c r="B87" s="53" t="s">
        <v>360</v>
      </c>
      <c r="C87" s="93"/>
      <c r="D87" s="92"/>
      <c r="E87" s="92"/>
      <c r="F87" s="93"/>
      <c r="G87" s="7"/>
      <c r="H87" s="7"/>
      <c r="I87" s="7"/>
      <c r="J87" s="7"/>
      <c r="K87" s="7"/>
      <c r="L87" s="7"/>
      <c r="M87" s="7"/>
      <c r="N87" s="7"/>
    </row>
    <row r="88" spans="1:14" x14ac:dyDescent="0.25">
      <c r="A88" s="53" t="s">
        <v>393</v>
      </c>
      <c r="B88" s="53" t="s">
        <v>367</v>
      </c>
      <c r="C88" s="93"/>
      <c r="D88" s="92"/>
      <c r="E88" s="92"/>
      <c r="F88" s="93"/>
      <c r="G88" s="7"/>
      <c r="H88" s="7"/>
      <c r="I88" s="7"/>
      <c r="J88" s="7"/>
      <c r="K88" s="7"/>
      <c r="L88" s="7"/>
      <c r="M88" s="7"/>
      <c r="N88" s="7"/>
    </row>
    <row r="89" spans="1:14" x14ac:dyDescent="0.25">
      <c r="A89" s="53" t="s">
        <v>394</v>
      </c>
      <c r="B89" s="53" t="s">
        <v>366</v>
      </c>
      <c r="C89" s="93"/>
      <c r="D89" s="92"/>
      <c r="E89" s="92"/>
      <c r="F89" s="93"/>
      <c r="G89" s="7"/>
      <c r="H89" s="7"/>
      <c r="I89" s="7"/>
      <c r="J89" s="7"/>
      <c r="K89" s="7"/>
      <c r="L89" s="7"/>
      <c r="M89" s="7"/>
      <c r="N89" s="7"/>
    </row>
    <row r="90" spans="1:14" x14ac:dyDescent="0.25">
      <c r="A90" s="53" t="s">
        <v>395</v>
      </c>
      <c r="B90" s="53" t="s">
        <v>66</v>
      </c>
      <c r="C90" s="93"/>
      <c r="D90" s="92"/>
      <c r="E90" s="92"/>
      <c r="F90" s="93"/>
      <c r="G90" s="7"/>
      <c r="H90" s="7"/>
      <c r="I90" s="7"/>
      <c r="J90" s="7"/>
      <c r="K90" s="7"/>
      <c r="L90" s="7"/>
      <c r="M90" s="7"/>
      <c r="N90" s="7"/>
    </row>
    <row r="91" spans="1:14" ht="25.5" customHeight="1" x14ac:dyDescent="0.25">
      <c r="A91" s="53" t="s">
        <v>396</v>
      </c>
      <c r="B91" s="53" t="s">
        <v>380</v>
      </c>
      <c r="C91" s="93" t="s">
        <v>295</v>
      </c>
      <c r="D91" s="92" t="s">
        <v>196</v>
      </c>
      <c r="E91" s="92" t="s">
        <v>425</v>
      </c>
      <c r="F91" s="93" t="s">
        <v>74</v>
      </c>
      <c r="G91" s="7"/>
      <c r="H91" s="7"/>
      <c r="I91" s="7"/>
      <c r="J91" s="7"/>
      <c r="K91" s="7"/>
      <c r="L91" s="7"/>
      <c r="M91" s="7"/>
      <c r="N91" s="7"/>
    </row>
    <row r="92" spans="1:14" ht="22.5" customHeight="1" x14ac:dyDescent="0.25">
      <c r="A92" s="53" t="s">
        <v>397</v>
      </c>
      <c r="B92" s="53" t="s">
        <v>360</v>
      </c>
      <c r="C92" s="93"/>
      <c r="D92" s="92"/>
      <c r="E92" s="92"/>
      <c r="F92" s="93"/>
      <c r="G92" s="7"/>
      <c r="H92" s="7"/>
      <c r="I92" s="7"/>
      <c r="J92" s="7"/>
      <c r="K92" s="7"/>
      <c r="L92" s="7"/>
      <c r="M92" s="7"/>
      <c r="N92" s="7"/>
    </row>
    <row r="93" spans="1:14" x14ac:dyDescent="0.25">
      <c r="A93" s="53" t="s">
        <v>398</v>
      </c>
      <c r="B93" s="53" t="s">
        <v>367</v>
      </c>
      <c r="C93" s="93"/>
      <c r="D93" s="92"/>
      <c r="E93" s="92"/>
      <c r="F93" s="93"/>
      <c r="G93" s="7"/>
      <c r="H93" s="7"/>
      <c r="I93" s="7"/>
      <c r="J93" s="7"/>
      <c r="K93" s="7"/>
      <c r="L93" s="7"/>
      <c r="M93" s="7"/>
      <c r="N93" s="7"/>
    </row>
    <row r="94" spans="1:14" x14ac:dyDescent="0.25">
      <c r="A94" s="53" t="s">
        <v>399</v>
      </c>
      <c r="B94" s="53" t="s">
        <v>366</v>
      </c>
      <c r="C94" s="93"/>
      <c r="D94" s="92"/>
      <c r="E94" s="92"/>
      <c r="F94" s="93"/>
      <c r="G94" s="7"/>
      <c r="H94" s="7"/>
      <c r="I94" s="7"/>
      <c r="J94" s="7"/>
      <c r="K94" s="7"/>
      <c r="L94" s="7"/>
      <c r="M94" s="7"/>
      <c r="N94" s="7"/>
    </row>
    <row r="95" spans="1:14" x14ac:dyDescent="0.25">
      <c r="A95" s="53" t="s">
        <v>404</v>
      </c>
      <c r="B95" s="53" t="s">
        <v>66</v>
      </c>
      <c r="C95" s="93"/>
      <c r="D95" s="92"/>
      <c r="E95" s="92"/>
      <c r="F95" s="93"/>
      <c r="G95" s="7"/>
      <c r="H95" s="7"/>
      <c r="I95" s="7"/>
      <c r="J95" s="7"/>
      <c r="K95" s="7"/>
      <c r="L95" s="7"/>
      <c r="M95" s="7"/>
      <c r="N95" s="7"/>
    </row>
    <row r="96" spans="1:14" ht="15" customHeight="1" x14ac:dyDescent="0.25">
      <c r="A96" s="100" t="s">
        <v>79</v>
      </c>
      <c r="B96" s="101"/>
      <c r="C96" s="101"/>
      <c r="D96" s="101"/>
      <c r="E96" s="101"/>
      <c r="F96" s="102"/>
    </row>
    <row r="97" spans="1:18" ht="50.1" customHeight="1" x14ac:dyDescent="0.25">
      <c r="A97" s="16" t="s">
        <v>493</v>
      </c>
      <c r="B97" s="16" t="s">
        <v>285</v>
      </c>
      <c r="C97" s="16" t="s">
        <v>229</v>
      </c>
      <c r="D97" s="32" t="s">
        <v>196</v>
      </c>
      <c r="E97" s="32" t="s">
        <v>425</v>
      </c>
      <c r="F97" s="16" t="s">
        <v>80</v>
      </c>
    </row>
    <row r="98" spans="1:18" x14ac:dyDescent="0.25">
      <c r="A98" s="92" t="s">
        <v>81</v>
      </c>
      <c r="B98" s="92"/>
      <c r="C98" s="92"/>
      <c r="D98" s="92"/>
      <c r="E98" s="92"/>
      <c r="F98" s="92"/>
      <c r="G98" s="7"/>
      <c r="H98" s="7"/>
      <c r="I98" s="7"/>
      <c r="J98" s="7"/>
      <c r="K98" s="7"/>
      <c r="L98" s="7"/>
      <c r="Q98" s="7"/>
      <c r="R98" s="7"/>
    </row>
    <row r="99" spans="1:18" ht="81.75" customHeight="1" x14ac:dyDescent="0.25">
      <c r="A99" s="16" t="s">
        <v>494</v>
      </c>
      <c r="B99" s="16" t="s">
        <v>324</v>
      </c>
      <c r="C99" s="16" t="s">
        <v>506</v>
      </c>
      <c r="D99" s="32" t="s">
        <v>196</v>
      </c>
      <c r="E99" s="32" t="s">
        <v>425</v>
      </c>
      <c r="F99" s="16" t="s">
        <v>244</v>
      </c>
    </row>
    <row r="100" spans="1:18" ht="50.1" customHeight="1" x14ac:dyDescent="0.25">
      <c r="A100" s="16" t="s">
        <v>495</v>
      </c>
      <c r="B100" s="16" t="s">
        <v>270</v>
      </c>
      <c r="C100" s="16" t="s">
        <v>229</v>
      </c>
      <c r="D100" s="32" t="s">
        <v>196</v>
      </c>
      <c r="E100" s="32" t="s">
        <v>425</v>
      </c>
      <c r="F100" s="16" t="s">
        <v>90</v>
      </c>
    </row>
    <row r="101" spans="1:18" ht="50.1" customHeight="1" x14ac:dyDescent="0.25">
      <c r="A101" s="16" t="s">
        <v>496</v>
      </c>
      <c r="B101" s="16" t="s">
        <v>82</v>
      </c>
      <c r="C101" s="16" t="s">
        <v>506</v>
      </c>
      <c r="D101" s="32" t="s">
        <v>196</v>
      </c>
      <c r="E101" s="32" t="s">
        <v>425</v>
      </c>
      <c r="F101" s="16" t="s">
        <v>91</v>
      </c>
    </row>
    <row r="102" spans="1:18" ht="50.1" customHeight="1" x14ac:dyDescent="0.25">
      <c r="A102" s="16" t="s">
        <v>497</v>
      </c>
      <c r="B102" s="16" t="s">
        <v>83</v>
      </c>
      <c r="C102" s="16" t="s">
        <v>506</v>
      </c>
      <c r="D102" s="32" t="s">
        <v>196</v>
      </c>
      <c r="E102" s="32" t="s">
        <v>425</v>
      </c>
      <c r="F102" s="16" t="s">
        <v>220</v>
      </c>
    </row>
    <row r="103" spans="1:18" ht="50.1" customHeight="1" x14ac:dyDescent="0.25">
      <c r="A103" s="16" t="s">
        <v>498</v>
      </c>
      <c r="B103" s="16" t="s">
        <v>84</v>
      </c>
      <c r="C103" s="16" t="s">
        <v>264</v>
      </c>
      <c r="D103" s="32" t="s">
        <v>196</v>
      </c>
      <c r="E103" s="32" t="s">
        <v>425</v>
      </c>
      <c r="F103" s="16" t="s">
        <v>92</v>
      </c>
    </row>
    <row r="104" spans="1:18" ht="50.1" customHeight="1" x14ac:dyDescent="0.25">
      <c r="A104" s="16" t="s">
        <v>499</v>
      </c>
      <c r="B104" s="16" t="s">
        <v>85</v>
      </c>
      <c r="C104" s="16" t="s">
        <v>506</v>
      </c>
      <c r="D104" s="32" t="s">
        <v>196</v>
      </c>
      <c r="E104" s="32" t="s">
        <v>425</v>
      </c>
      <c r="F104" s="16" t="s">
        <v>93</v>
      </c>
    </row>
    <row r="105" spans="1:18" ht="50.1" customHeight="1" x14ac:dyDescent="0.25">
      <c r="A105" s="16" t="s">
        <v>500</v>
      </c>
      <c r="B105" s="16" t="s">
        <v>86</v>
      </c>
      <c r="C105" s="16" t="s">
        <v>506</v>
      </c>
      <c r="D105" s="32" t="s">
        <v>196</v>
      </c>
      <c r="E105" s="32" t="s">
        <v>425</v>
      </c>
      <c r="F105" s="16" t="s">
        <v>92</v>
      </c>
    </row>
    <row r="106" spans="1:18" ht="50.1" customHeight="1" x14ac:dyDescent="0.25">
      <c r="A106" s="16" t="s">
        <v>501</v>
      </c>
      <c r="B106" s="16" t="s">
        <v>87</v>
      </c>
      <c r="C106" s="16" t="s">
        <v>230</v>
      </c>
      <c r="D106" s="32" t="s">
        <v>196</v>
      </c>
      <c r="E106" s="32" t="s">
        <v>425</v>
      </c>
      <c r="F106" s="16" t="s">
        <v>94</v>
      </c>
    </row>
    <row r="107" spans="1:18" ht="50.1" customHeight="1" x14ac:dyDescent="0.25">
      <c r="A107" s="16" t="s">
        <v>502</v>
      </c>
      <c r="B107" s="16" t="s">
        <v>88</v>
      </c>
      <c r="C107" s="16" t="s">
        <v>230</v>
      </c>
      <c r="D107" s="32" t="s">
        <v>196</v>
      </c>
      <c r="E107" s="16" t="s">
        <v>425</v>
      </c>
      <c r="F107" s="16" t="s">
        <v>95</v>
      </c>
    </row>
    <row r="108" spans="1:18" ht="82.5" customHeight="1" x14ac:dyDescent="0.25">
      <c r="A108" s="16" t="s">
        <v>503</v>
      </c>
      <c r="B108" s="16" t="s">
        <v>505</v>
      </c>
      <c r="C108" s="16" t="s">
        <v>230</v>
      </c>
      <c r="D108" s="32" t="s">
        <v>196</v>
      </c>
      <c r="E108" s="16" t="s">
        <v>425</v>
      </c>
      <c r="F108" s="16" t="s">
        <v>96</v>
      </c>
    </row>
    <row r="109" spans="1:18" ht="37.5" customHeight="1" x14ac:dyDescent="0.25">
      <c r="A109" s="16" t="s">
        <v>504</v>
      </c>
      <c r="B109" s="16" t="s">
        <v>282</v>
      </c>
      <c r="C109" s="16" t="s">
        <v>89</v>
      </c>
      <c r="D109" s="32" t="s">
        <v>196</v>
      </c>
      <c r="E109" s="16" t="s">
        <v>425</v>
      </c>
      <c r="F109" s="16" t="s">
        <v>97</v>
      </c>
      <c r="G109" s="63" t="s">
        <v>239</v>
      </c>
    </row>
    <row r="110" spans="1:18" x14ac:dyDescent="0.25">
      <c r="A110" s="28"/>
      <c r="B110" s="28"/>
      <c r="C110" s="28"/>
      <c r="D110" s="28"/>
      <c r="E110" s="28"/>
      <c r="F110" s="28"/>
    </row>
    <row r="111" spans="1:18" x14ac:dyDescent="0.25">
      <c r="A111" s="28"/>
      <c r="B111" s="28"/>
      <c r="C111" s="28"/>
      <c r="D111" s="28"/>
      <c r="E111" s="28"/>
      <c r="F111" s="28"/>
    </row>
  </sheetData>
  <mergeCells count="37">
    <mergeCell ref="D1:F1"/>
    <mergeCell ref="D3:F3"/>
    <mergeCell ref="B5:F5"/>
    <mergeCell ref="B6:F6"/>
    <mergeCell ref="D8:E8"/>
    <mergeCell ref="F8:F9"/>
    <mergeCell ref="A98:F98"/>
    <mergeCell ref="A11:F11"/>
    <mergeCell ref="A34:F34"/>
    <mergeCell ref="A49:F49"/>
    <mergeCell ref="A55:F55"/>
    <mergeCell ref="A64:F64"/>
    <mergeCell ref="A96:F96"/>
    <mergeCell ref="C76:C80"/>
    <mergeCell ref="D76:D80"/>
    <mergeCell ref="E76:E80"/>
    <mergeCell ref="F76:F80"/>
    <mergeCell ref="C66:C70"/>
    <mergeCell ref="D66:D70"/>
    <mergeCell ref="E66:E70"/>
    <mergeCell ref="F66:F70"/>
    <mergeCell ref="C71:C75"/>
    <mergeCell ref="D71:D75"/>
    <mergeCell ref="E71:E75"/>
    <mergeCell ref="F71:F75"/>
    <mergeCell ref="C91:C95"/>
    <mergeCell ref="D91:D95"/>
    <mergeCell ref="E91:E95"/>
    <mergeCell ref="F91:F95"/>
    <mergeCell ref="C81:C85"/>
    <mergeCell ref="D81:D85"/>
    <mergeCell ref="E81:E85"/>
    <mergeCell ref="F81:F85"/>
    <mergeCell ref="C86:C90"/>
    <mergeCell ref="D86:D90"/>
    <mergeCell ref="E86:E90"/>
    <mergeCell ref="F86:F90"/>
  </mergeCells>
  <pageMargins left="1.1811023622047245" right="0.59055118110236227" top="0.74803149606299213" bottom="0.74803149606299213" header="0.31496062992125984" footer="0.31496062992125984"/>
  <pageSetup paperSize="9" scale="89" orientation="landscape" r:id="rId1"/>
  <headerFooter differentFirst="1">
    <oddHeader>&amp;C&amp;P</oddHeader>
  </headerFooter>
  <rowBreaks count="1" manualBreakCount="1">
    <brk id="61" max="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2:S271"/>
  <sheetViews>
    <sheetView view="pageBreakPreview" topLeftCell="A4" zoomScale="150" zoomScaleSheetLayoutView="150" workbookViewId="0">
      <selection activeCell="H12" sqref="H12"/>
    </sheetView>
  </sheetViews>
  <sheetFormatPr defaultColWidth="9.140625" defaultRowHeight="12" x14ac:dyDescent="0.2"/>
  <cols>
    <col min="1" max="1" width="6" style="33" customWidth="1"/>
    <col min="2" max="2" width="34.42578125" style="34" customWidth="1"/>
    <col min="3" max="3" width="17.5703125" style="49" customWidth="1"/>
    <col min="4" max="4" width="13.28515625" style="39" customWidth="1"/>
    <col min="5" max="5" width="11.28515625" style="39" customWidth="1"/>
    <col min="6" max="6" width="9.7109375" style="39" customWidth="1"/>
    <col min="7" max="7" width="9.85546875" style="39" customWidth="1"/>
    <col min="8" max="8" width="9.140625" style="39" customWidth="1"/>
    <col min="9" max="9" width="10.7109375" style="39" customWidth="1"/>
    <col min="10" max="10" width="11" style="39" customWidth="1"/>
    <col min="11" max="11" width="10.7109375" style="39" customWidth="1"/>
    <col min="12" max="12" width="10.28515625" style="39" customWidth="1"/>
    <col min="13" max="13" width="10.42578125" style="39" customWidth="1"/>
    <col min="14" max="14" width="1.85546875" style="37" customWidth="1"/>
    <col min="15" max="15" width="9.5703125" style="37" bestFit="1" customWidth="1"/>
    <col min="16" max="16384" width="9.140625" style="37"/>
  </cols>
  <sheetData>
    <row r="2" spans="1:13" ht="129.75" customHeight="1" x14ac:dyDescent="0.2">
      <c r="C2" s="35"/>
      <c r="D2" s="38"/>
      <c r="G2" s="109" t="s">
        <v>415</v>
      </c>
      <c r="H2" s="109"/>
      <c r="I2" s="109"/>
      <c r="J2" s="109"/>
      <c r="K2" s="109"/>
      <c r="L2" s="109"/>
      <c r="M2" s="109"/>
    </row>
    <row r="3" spans="1:13" ht="108.75" customHeight="1" x14ac:dyDescent="0.2">
      <c r="C3" s="35"/>
      <c r="D3" s="38"/>
      <c r="G3" s="103" t="s">
        <v>416</v>
      </c>
      <c r="H3" s="103"/>
      <c r="I3" s="103"/>
      <c r="J3" s="103"/>
      <c r="K3" s="103"/>
      <c r="L3" s="103"/>
      <c r="M3" s="103"/>
    </row>
    <row r="4" spans="1:13" ht="36" customHeight="1" x14ac:dyDescent="0.2">
      <c r="C4" s="35"/>
      <c r="D4" s="38"/>
      <c r="H4" s="36"/>
      <c r="I4" s="36"/>
      <c r="J4" s="36"/>
      <c r="K4" s="36"/>
      <c r="L4" s="36"/>
      <c r="M4" s="36"/>
    </row>
    <row r="5" spans="1:13" ht="18.75" customHeight="1" x14ac:dyDescent="0.2">
      <c r="B5" s="113" t="s">
        <v>13</v>
      </c>
      <c r="C5" s="113"/>
      <c r="D5" s="113"/>
      <c r="E5" s="113"/>
      <c r="F5" s="113"/>
      <c r="G5" s="113"/>
      <c r="H5" s="113"/>
      <c r="I5" s="113"/>
      <c r="J5" s="113"/>
      <c r="K5" s="113"/>
      <c r="L5" s="113"/>
      <c r="M5" s="113"/>
    </row>
    <row r="6" spans="1:13" x14ac:dyDescent="0.2">
      <c r="B6" s="113" t="s">
        <v>257</v>
      </c>
      <c r="C6" s="113"/>
      <c r="D6" s="113"/>
      <c r="E6" s="113"/>
      <c r="F6" s="113"/>
      <c r="G6" s="113"/>
      <c r="H6" s="113"/>
      <c r="I6" s="113"/>
      <c r="J6" s="113"/>
      <c r="K6" s="113"/>
      <c r="L6" s="113"/>
      <c r="M6" s="113"/>
    </row>
    <row r="7" spans="1:13" ht="9" customHeight="1" x14ac:dyDescent="0.2">
      <c r="B7" s="124"/>
      <c r="C7" s="124"/>
      <c r="D7" s="124"/>
      <c r="E7" s="124"/>
      <c r="F7" s="124"/>
      <c r="G7" s="124"/>
      <c r="H7" s="124"/>
      <c r="I7" s="124"/>
      <c r="J7" s="124"/>
      <c r="K7" s="124"/>
      <c r="L7" s="124"/>
      <c r="M7" s="124"/>
    </row>
    <row r="8" spans="1:13" ht="33" customHeight="1" x14ac:dyDescent="0.2">
      <c r="A8" s="111" t="s">
        <v>318</v>
      </c>
      <c r="B8" s="110" t="s">
        <v>98</v>
      </c>
      <c r="C8" s="110" t="s">
        <v>255</v>
      </c>
      <c r="D8" s="110" t="s">
        <v>108</v>
      </c>
      <c r="E8" s="110" t="s">
        <v>9</v>
      </c>
      <c r="F8" s="125" t="s">
        <v>256</v>
      </c>
      <c r="G8" s="126"/>
      <c r="H8" s="126"/>
      <c r="I8" s="126"/>
      <c r="J8" s="126"/>
      <c r="K8" s="126"/>
      <c r="L8" s="126"/>
      <c r="M8" s="126"/>
    </row>
    <row r="9" spans="1:13" ht="29.25" customHeight="1" x14ac:dyDescent="0.2">
      <c r="A9" s="111"/>
      <c r="B9" s="110"/>
      <c r="C9" s="110"/>
      <c r="D9" s="110"/>
      <c r="E9" s="110"/>
      <c r="F9" s="41" t="s">
        <v>99</v>
      </c>
      <c r="G9" s="41" t="s">
        <v>100</v>
      </c>
      <c r="H9" s="41" t="s">
        <v>101</v>
      </c>
      <c r="I9" s="41" t="s">
        <v>102</v>
      </c>
      <c r="J9" s="41" t="s">
        <v>103</v>
      </c>
      <c r="K9" s="41" t="s">
        <v>104</v>
      </c>
      <c r="L9" s="41" t="s">
        <v>105</v>
      </c>
      <c r="M9" s="41" t="s">
        <v>106</v>
      </c>
    </row>
    <row r="10" spans="1:13" s="39" customFormat="1" x14ac:dyDescent="0.25">
      <c r="A10" s="40" t="s">
        <v>14</v>
      </c>
      <c r="B10" s="41" t="s">
        <v>107</v>
      </c>
      <c r="C10" s="41">
        <v>3</v>
      </c>
      <c r="D10" s="41">
        <v>4</v>
      </c>
      <c r="E10" s="41">
        <v>5</v>
      </c>
      <c r="F10" s="41">
        <v>6</v>
      </c>
      <c r="G10" s="41">
        <v>7</v>
      </c>
      <c r="H10" s="41">
        <v>8</v>
      </c>
      <c r="I10" s="41">
        <v>9</v>
      </c>
      <c r="J10" s="41">
        <v>10</v>
      </c>
      <c r="K10" s="41">
        <v>11</v>
      </c>
      <c r="L10" s="41">
        <v>12</v>
      </c>
      <c r="M10" s="41">
        <v>13</v>
      </c>
    </row>
    <row r="11" spans="1:13" ht="19.5" customHeight="1" x14ac:dyDescent="0.2">
      <c r="A11" s="114" t="s">
        <v>40</v>
      </c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</row>
    <row r="12" spans="1:13" ht="87.75" customHeight="1" x14ac:dyDescent="0.2">
      <c r="A12" s="115" t="s">
        <v>110</v>
      </c>
      <c r="B12" s="118" t="s">
        <v>291</v>
      </c>
      <c r="C12" s="121" t="s">
        <v>289</v>
      </c>
      <c r="D12" s="41" t="s">
        <v>109</v>
      </c>
      <c r="E12" s="43">
        <f t="shared" ref="E12:E17" si="0">SUM(F12:M12)</f>
        <v>1722.1999999999998</v>
      </c>
      <c r="F12" s="43">
        <f>F13+F14</f>
        <v>150</v>
      </c>
      <c r="G12" s="43">
        <f t="shared" ref="G12:M12" si="1">G13+G14</f>
        <v>157.5</v>
      </c>
      <c r="H12" s="43">
        <f t="shared" si="1"/>
        <v>165.4</v>
      </c>
      <c r="I12" s="43">
        <f t="shared" si="1"/>
        <v>173.7</v>
      </c>
      <c r="J12" s="43">
        <f t="shared" si="1"/>
        <v>182.4</v>
      </c>
      <c r="K12" s="43">
        <f t="shared" si="1"/>
        <v>38.099999999999994</v>
      </c>
      <c r="L12" s="43">
        <f t="shared" si="1"/>
        <v>171</v>
      </c>
      <c r="M12" s="43">
        <f t="shared" si="1"/>
        <v>684.1</v>
      </c>
    </row>
    <row r="13" spans="1:13" ht="14.25" customHeight="1" x14ac:dyDescent="0.2">
      <c r="A13" s="116"/>
      <c r="B13" s="119"/>
      <c r="C13" s="122"/>
      <c r="D13" s="41" t="s">
        <v>11</v>
      </c>
      <c r="E13" s="43">
        <f t="shared" si="0"/>
        <v>1722.1999999999998</v>
      </c>
      <c r="F13" s="43">
        <v>150</v>
      </c>
      <c r="G13" s="43">
        <v>157.5</v>
      </c>
      <c r="H13" s="43">
        <v>165.4</v>
      </c>
      <c r="I13" s="43">
        <v>173.7</v>
      </c>
      <c r="J13" s="43">
        <v>182.4</v>
      </c>
      <c r="K13" s="43">
        <f>191.5-153.4</f>
        <v>38.099999999999994</v>
      </c>
      <c r="L13" s="43">
        <f>199.2-28.2</f>
        <v>171</v>
      </c>
      <c r="M13" s="43">
        <f>207.1+50+427</f>
        <v>684.1</v>
      </c>
    </row>
    <row r="14" spans="1:13" ht="14.25" customHeight="1" x14ac:dyDescent="0.2">
      <c r="A14" s="117"/>
      <c r="B14" s="120"/>
      <c r="C14" s="123"/>
      <c r="D14" s="41" t="s">
        <v>10</v>
      </c>
      <c r="E14" s="43">
        <f t="shared" si="0"/>
        <v>0</v>
      </c>
      <c r="F14" s="43">
        <v>0</v>
      </c>
      <c r="G14" s="43">
        <v>0</v>
      </c>
      <c r="H14" s="43">
        <v>0</v>
      </c>
      <c r="I14" s="43">
        <v>0</v>
      </c>
      <c r="J14" s="43">
        <v>0</v>
      </c>
      <c r="K14" s="43">
        <v>0</v>
      </c>
      <c r="L14" s="43">
        <v>0</v>
      </c>
      <c r="M14" s="43">
        <v>0</v>
      </c>
    </row>
    <row r="15" spans="1:13" ht="29.25" customHeight="1" x14ac:dyDescent="0.2">
      <c r="A15" s="115" t="s">
        <v>111</v>
      </c>
      <c r="B15" s="118" t="s">
        <v>420</v>
      </c>
      <c r="C15" s="121" t="s">
        <v>289</v>
      </c>
      <c r="D15" s="41" t="s">
        <v>109</v>
      </c>
      <c r="E15" s="43">
        <f t="shared" si="0"/>
        <v>181</v>
      </c>
      <c r="F15" s="43">
        <f>F16+F17</f>
        <v>40</v>
      </c>
      <c r="G15" s="43">
        <f t="shared" ref="G15:M15" si="2">G16+G17</f>
        <v>0</v>
      </c>
      <c r="H15" s="43">
        <f t="shared" si="2"/>
        <v>44.1</v>
      </c>
      <c r="I15" s="43">
        <f t="shared" si="2"/>
        <v>0</v>
      </c>
      <c r="J15" s="43">
        <f t="shared" si="2"/>
        <v>48.6</v>
      </c>
      <c r="K15" s="43">
        <f t="shared" si="2"/>
        <v>0</v>
      </c>
      <c r="L15" s="43">
        <f t="shared" si="2"/>
        <v>48.3</v>
      </c>
      <c r="M15" s="43">
        <f t="shared" si="2"/>
        <v>0</v>
      </c>
    </row>
    <row r="16" spans="1:13" ht="14.25" customHeight="1" x14ac:dyDescent="0.2">
      <c r="A16" s="116"/>
      <c r="B16" s="119"/>
      <c r="C16" s="122"/>
      <c r="D16" s="41" t="s">
        <v>11</v>
      </c>
      <c r="E16" s="43">
        <f t="shared" si="0"/>
        <v>181</v>
      </c>
      <c r="F16" s="43">
        <v>40</v>
      </c>
      <c r="G16" s="43">
        <v>0</v>
      </c>
      <c r="H16" s="43">
        <v>44.1</v>
      </c>
      <c r="I16" s="43">
        <v>0</v>
      </c>
      <c r="J16" s="43">
        <v>48.6</v>
      </c>
      <c r="K16" s="43">
        <v>0</v>
      </c>
      <c r="L16" s="43">
        <f>50-1.7</f>
        <v>48.3</v>
      </c>
      <c r="M16" s="43">
        <v>0</v>
      </c>
    </row>
    <row r="17" spans="1:13" ht="14.25" customHeight="1" x14ac:dyDescent="0.2">
      <c r="A17" s="117"/>
      <c r="B17" s="120"/>
      <c r="C17" s="123"/>
      <c r="D17" s="41" t="s">
        <v>10</v>
      </c>
      <c r="E17" s="43">
        <f t="shared" si="0"/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  <c r="K17" s="43">
        <v>0</v>
      </c>
      <c r="L17" s="43">
        <v>0</v>
      </c>
      <c r="M17" s="43">
        <v>0</v>
      </c>
    </row>
    <row r="18" spans="1:13" ht="57" customHeight="1" x14ac:dyDescent="0.2">
      <c r="A18" s="40" t="s">
        <v>112</v>
      </c>
      <c r="B18" s="45" t="s">
        <v>15</v>
      </c>
      <c r="C18" s="41" t="s">
        <v>289</v>
      </c>
      <c r="D18" s="43">
        <f>E18+F18+G18+H18+I18+J18+K18+L18+M18</f>
        <v>0</v>
      </c>
      <c r="E18" s="43">
        <f>F18+G18+H18+I18+J18+K18+L18+M18</f>
        <v>0</v>
      </c>
      <c r="F18" s="43">
        <v>0</v>
      </c>
      <c r="G18" s="43">
        <v>0</v>
      </c>
      <c r="H18" s="43">
        <v>0</v>
      </c>
      <c r="I18" s="43">
        <v>0</v>
      </c>
      <c r="J18" s="43">
        <v>0</v>
      </c>
      <c r="K18" s="43">
        <v>0</v>
      </c>
      <c r="L18" s="43">
        <v>0</v>
      </c>
      <c r="M18" s="43">
        <v>0</v>
      </c>
    </row>
    <row r="19" spans="1:13" ht="65.25" customHeight="1" x14ac:dyDescent="0.2">
      <c r="A19" s="40" t="s">
        <v>113</v>
      </c>
      <c r="B19" s="45" t="s">
        <v>16</v>
      </c>
      <c r="C19" s="41" t="s">
        <v>289</v>
      </c>
      <c r="D19" s="43">
        <f>E19+F19+G19+H19+I19+J19+K19+L19+M19</f>
        <v>0</v>
      </c>
      <c r="E19" s="43">
        <f>F19+G19+H19+I19+J19+K19+L19+M19</f>
        <v>0</v>
      </c>
      <c r="F19" s="43">
        <v>0</v>
      </c>
      <c r="G19" s="43">
        <v>0</v>
      </c>
      <c r="H19" s="43">
        <v>0</v>
      </c>
      <c r="I19" s="43">
        <v>0</v>
      </c>
      <c r="J19" s="43">
        <v>0</v>
      </c>
      <c r="K19" s="43">
        <v>0</v>
      </c>
      <c r="L19" s="43">
        <v>0</v>
      </c>
      <c r="M19" s="43">
        <v>0</v>
      </c>
    </row>
    <row r="20" spans="1:13" ht="29.25" customHeight="1" x14ac:dyDescent="0.2">
      <c r="A20" s="115" t="s">
        <v>114</v>
      </c>
      <c r="B20" s="118" t="s">
        <v>320</v>
      </c>
      <c r="C20" s="121" t="s">
        <v>289</v>
      </c>
      <c r="D20" s="41" t="s">
        <v>109</v>
      </c>
      <c r="E20" s="43">
        <f>SUM(F20:M20)</f>
        <v>191.69999999999996</v>
      </c>
      <c r="F20" s="43">
        <f>F21+F22</f>
        <v>20</v>
      </c>
      <c r="G20" s="43">
        <f t="shared" ref="G20:M20" si="3">G21+G22</f>
        <v>21</v>
      </c>
      <c r="H20" s="43">
        <f t="shared" si="3"/>
        <v>22</v>
      </c>
      <c r="I20" s="43">
        <f t="shared" si="3"/>
        <v>23.1</v>
      </c>
      <c r="J20" s="43">
        <f t="shared" si="3"/>
        <v>24.3</v>
      </c>
      <c r="K20" s="43">
        <f t="shared" si="3"/>
        <v>25.5</v>
      </c>
      <c r="L20" s="43">
        <f t="shared" si="3"/>
        <v>28.2</v>
      </c>
      <c r="M20" s="43">
        <f t="shared" si="3"/>
        <v>27.6</v>
      </c>
    </row>
    <row r="21" spans="1:13" ht="14.25" customHeight="1" x14ac:dyDescent="0.2">
      <c r="A21" s="116"/>
      <c r="B21" s="119"/>
      <c r="C21" s="122"/>
      <c r="D21" s="41" t="s">
        <v>11</v>
      </c>
      <c r="E21" s="43">
        <f>SUM(F21:M21)</f>
        <v>191.69999999999996</v>
      </c>
      <c r="F21" s="43">
        <v>20</v>
      </c>
      <c r="G21" s="43">
        <v>21</v>
      </c>
      <c r="H21" s="43">
        <v>22</v>
      </c>
      <c r="I21" s="43">
        <v>23.1</v>
      </c>
      <c r="J21" s="43">
        <v>24.3</v>
      </c>
      <c r="K21" s="43">
        <v>25.5</v>
      </c>
      <c r="L21" s="43">
        <f>26.5+1.7</f>
        <v>28.2</v>
      </c>
      <c r="M21" s="43">
        <v>27.6</v>
      </c>
    </row>
    <row r="22" spans="1:13" ht="14.25" customHeight="1" x14ac:dyDescent="0.2">
      <c r="A22" s="117"/>
      <c r="B22" s="120"/>
      <c r="C22" s="123"/>
      <c r="D22" s="41" t="s">
        <v>10</v>
      </c>
      <c r="E22" s="43">
        <f>SUM(F22:M22)</f>
        <v>0</v>
      </c>
      <c r="F22" s="43">
        <v>0</v>
      </c>
      <c r="G22" s="43">
        <v>0</v>
      </c>
      <c r="H22" s="43">
        <v>0</v>
      </c>
      <c r="I22" s="43">
        <v>0</v>
      </c>
      <c r="J22" s="43">
        <v>0</v>
      </c>
      <c r="K22" s="43">
        <v>0</v>
      </c>
      <c r="L22" s="43">
        <v>0</v>
      </c>
      <c r="M22" s="43">
        <v>0</v>
      </c>
    </row>
    <row r="23" spans="1:13" ht="51" customHeight="1" x14ac:dyDescent="0.2">
      <c r="A23" s="40" t="s">
        <v>115</v>
      </c>
      <c r="B23" s="45" t="s">
        <v>17</v>
      </c>
      <c r="C23" s="41" t="s">
        <v>289</v>
      </c>
      <c r="D23" s="43">
        <f>E23+F23+G23+H23+I23+J23+K23+L23+M23</f>
        <v>0</v>
      </c>
      <c r="E23" s="43">
        <f>F23+G23+H23+I23+J23+K23+L23+M23</f>
        <v>0</v>
      </c>
      <c r="F23" s="43">
        <v>0</v>
      </c>
      <c r="G23" s="43">
        <v>0</v>
      </c>
      <c r="H23" s="43">
        <v>0</v>
      </c>
      <c r="I23" s="43">
        <v>0</v>
      </c>
      <c r="J23" s="43">
        <v>0</v>
      </c>
      <c r="K23" s="43">
        <v>0</v>
      </c>
      <c r="L23" s="43">
        <v>0</v>
      </c>
      <c r="M23" s="43">
        <v>0</v>
      </c>
    </row>
    <row r="24" spans="1:13" ht="22.5" customHeight="1" x14ac:dyDescent="0.2">
      <c r="A24" s="115" t="s">
        <v>116</v>
      </c>
      <c r="B24" s="118" t="s">
        <v>18</v>
      </c>
      <c r="C24" s="121" t="s">
        <v>289</v>
      </c>
      <c r="D24" s="41" t="s">
        <v>109</v>
      </c>
      <c r="E24" s="43">
        <f t="shared" ref="E24:E68" si="4">SUM(F24:M24)</f>
        <v>115.1</v>
      </c>
      <c r="F24" s="43">
        <f>F25+F26</f>
        <v>25</v>
      </c>
      <c r="G24" s="43">
        <f t="shared" ref="G24:M24" si="5">G25+G26</f>
        <v>0</v>
      </c>
      <c r="H24" s="43">
        <f t="shared" si="5"/>
        <v>27.6</v>
      </c>
      <c r="I24" s="43">
        <f t="shared" si="5"/>
        <v>0</v>
      </c>
      <c r="J24" s="43">
        <f t="shared" si="5"/>
        <v>30.5</v>
      </c>
      <c r="K24" s="43">
        <f t="shared" si="5"/>
        <v>0</v>
      </c>
      <c r="L24" s="43">
        <f t="shared" si="5"/>
        <v>32</v>
      </c>
      <c r="M24" s="43">
        <f t="shared" si="5"/>
        <v>0</v>
      </c>
    </row>
    <row r="25" spans="1:13" ht="14.25" customHeight="1" x14ac:dyDescent="0.2">
      <c r="A25" s="116"/>
      <c r="B25" s="119"/>
      <c r="C25" s="122"/>
      <c r="D25" s="41" t="s">
        <v>11</v>
      </c>
      <c r="E25" s="43">
        <f t="shared" si="4"/>
        <v>115.1</v>
      </c>
      <c r="F25" s="43">
        <v>25</v>
      </c>
      <c r="G25" s="43">
        <v>0</v>
      </c>
      <c r="H25" s="43">
        <v>27.6</v>
      </c>
      <c r="I25" s="43">
        <v>0</v>
      </c>
      <c r="J25" s="43">
        <v>30.5</v>
      </c>
      <c r="K25" s="43">
        <v>0</v>
      </c>
      <c r="L25" s="43">
        <v>32</v>
      </c>
      <c r="M25" s="43">
        <v>0</v>
      </c>
    </row>
    <row r="26" spans="1:13" ht="14.25" customHeight="1" x14ac:dyDescent="0.2">
      <c r="A26" s="117"/>
      <c r="B26" s="120"/>
      <c r="C26" s="123"/>
      <c r="D26" s="41" t="s">
        <v>10</v>
      </c>
      <c r="E26" s="43">
        <f t="shared" si="4"/>
        <v>0</v>
      </c>
      <c r="F26" s="43">
        <v>0</v>
      </c>
      <c r="G26" s="43">
        <v>0</v>
      </c>
      <c r="H26" s="43">
        <v>0</v>
      </c>
      <c r="I26" s="43">
        <v>0</v>
      </c>
      <c r="J26" s="43">
        <v>0</v>
      </c>
      <c r="K26" s="43">
        <v>0</v>
      </c>
      <c r="L26" s="43">
        <v>0</v>
      </c>
      <c r="M26" s="43">
        <v>0</v>
      </c>
    </row>
    <row r="27" spans="1:13" ht="27" customHeight="1" x14ac:dyDescent="0.2">
      <c r="A27" s="115" t="s">
        <v>117</v>
      </c>
      <c r="B27" s="118" t="s">
        <v>19</v>
      </c>
      <c r="C27" s="121" t="s">
        <v>289</v>
      </c>
      <c r="D27" s="41" t="s">
        <v>109</v>
      </c>
      <c r="E27" s="43">
        <f t="shared" si="4"/>
        <v>91.3</v>
      </c>
      <c r="F27" s="43">
        <f>F28+F29</f>
        <v>20</v>
      </c>
      <c r="G27" s="43">
        <f t="shared" ref="G27:M27" si="6">G28+G29</f>
        <v>0</v>
      </c>
      <c r="H27" s="43">
        <f t="shared" si="6"/>
        <v>22</v>
      </c>
      <c r="I27" s="43">
        <f t="shared" si="6"/>
        <v>0</v>
      </c>
      <c r="J27" s="43">
        <f t="shared" si="6"/>
        <v>24.3</v>
      </c>
      <c r="K27" s="43">
        <f t="shared" si="6"/>
        <v>0</v>
      </c>
      <c r="L27" s="43">
        <f t="shared" si="6"/>
        <v>25</v>
      </c>
      <c r="M27" s="43">
        <f t="shared" si="6"/>
        <v>0</v>
      </c>
    </row>
    <row r="28" spans="1:13" ht="14.25" customHeight="1" x14ac:dyDescent="0.2">
      <c r="A28" s="116"/>
      <c r="B28" s="119"/>
      <c r="C28" s="122"/>
      <c r="D28" s="41" t="s">
        <v>11</v>
      </c>
      <c r="E28" s="43">
        <f t="shared" si="4"/>
        <v>91.3</v>
      </c>
      <c r="F28" s="43">
        <v>20</v>
      </c>
      <c r="G28" s="43">
        <v>0</v>
      </c>
      <c r="H28" s="43">
        <v>22</v>
      </c>
      <c r="I28" s="43">
        <v>0</v>
      </c>
      <c r="J28" s="43">
        <v>24.3</v>
      </c>
      <c r="K28" s="43">
        <v>0</v>
      </c>
      <c r="L28" s="43">
        <v>25</v>
      </c>
      <c r="M28" s="43">
        <v>0</v>
      </c>
    </row>
    <row r="29" spans="1:13" ht="14.25" customHeight="1" x14ac:dyDescent="0.2">
      <c r="A29" s="117"/>
      <c r="B29" s="120"/>
      <c r="C29" s="123"/>
      <c r="D29" s="41" t="s">
        <v>10</v>
      </c>
      <c r="E29" s="43">
        <f t="shared" si="4"/>
        <v>0</v>
      </c>
      <c r="F29" s="43">
        <v>0</v>
      </c>
      <c r="G29" s="43">
        <v>0</v>
      </c>
      <c r="H29" s="43">
        <v>0</v>
      </c>
      <c r="I29" s="43">
        <v>0</v>
      </c>
      <c r="J29" s="43">
        <v>0</v>
      </c>
      <c r="K29" s="43">
        <v>0</v>
      </c>
      <c r="L29" s="43">
        <v>0</v>
      </c>
      <c r="M29" s="43">
        <v>0</v>
      </c>
    </row>
    <row r="30" spans="1:13" ht="76.5" customHeight="1" x14ac:dyDescent="0.2">
      <c r="A30" s="115" t="s">
        <v>118</v>
      </c>
      <c r="B30" s="118" t="s">
        <v>241</v>
      </c>
      <c r="C30" s="121" t="s">
        <v>289</v>
      </c>
      <c r="D30" s="41" t="s">
        <v>109</v>
      </c>
      <c r="E30" s="43">
        <f t="shared" si="4"/>
        <v>193.6</v>
      </c>
      <c r="F30" s="43">
        <f>F31+F32</f>
        <v>40</v>
      </c>
      <c r="G30" s="43">
        <f t="shared" ref="G30:M30" si="7">G31+G32</f>
        <v>0</v>
      </c>
      <c r="H30" s="43">
        <f t="shared" si="7"/>
        <v>44.1</v>
      </c>
      <c r="I30" s="43">
        <f t="shared" si="7"/>
        <v>0</v>
      </c>
      <c r="J30" s="43">
        <v>48.6</v>
      </c>
      <c r="K30" s="43">
        <v>0</v>
      </c>
      <c r="L30" s="43">
        <f t="shared" si="7"/>
        <v>50</v>
      </c>
      <c r="M30" s="43">
        <f t="shared" si="7"/>
        <v>10.899999999999999</v>
      </c>
    </row>
    <row r="31" spans="1:13" ht="14.25" customHeight="1" x14ac:dyDescent="0.2">
      <c r="A31" s="116"/>
      <c r="B31" s="119"/>
      <c r="C31" s="122"/>
      <c r="D31" s="41" t="s">
        <v>11</v>
      </c>
      <c r="E31" s="43">
        <f t="shared" si="4"/>
        <v>193.6</v>
      </c>
      <c r="F31" s="43">
        <v>40</v>
      </c>
      <c r="G31" s="43">
        <v>0</v>
      </c>
      <c r="H31" s="43">
        <v>44.1</v>
      </c>
      <c r="I31" s="43">
        <v>0</v>
      </c>
      <c r="J31" s="43">
        <v>48.6</v>
      </c>
      <c r="K31" s="43">
        <v>0</v>
      </c>
      <c r="L31" s="43">
        <v>50</v>
      </c>
      <c r="M31" s="43">
        <f>50-39.1</f>
        <v>10.899999999999999</v>
      </c>
    </row>
    <row r="32" spans="1:13" ht="14.25" customHeight="1" x14ac:dyDescent="0.2">
      <c r="A32" s="117"/>
      <c r="B32" s="120"/>
      <c r="C32" s="123"/>
      <c r="D32" s="41" t="s">
        <v>10</v>
      </c>
      <c r="E32" s="43">
        <f t="shared" si="4"/>
        <v>0</v>
      </c>
      <c r="F32" s="43">
        <v>0</v>
      </c>
      <c r="G32" s="43">
        <v>0</v>
      </c>
      <c r="H32" s="43">
        <v>0</v>
      </c>
      <c r="I32" s="43">
        <v>0</v>
      </c>
      <c r="J32" s="43">
        <v>0</v>
      </c>
      <c r="K32" s="43">
        <v>0</v>
      </c>
      <c r="L32" s="43">
        <v>0</v>
      </c>
      <c r="M32" s="43">
        <v>0</v>
      </c>
    </row>
    <row r="33" spans="1:19" ht="28.5" customHeight="1" x14ac:dyDescent="0.2">
      <c r="A33" s="115" t="s">
        <v>119</v>
      </c>
      <c r="B33" s="118" t="s">
        <v>20</v>
      </c>
      <c r="C33" s="121" t="s">
        <v>289</v>
      </c>
      <c r="D33" s="41" t="s">
        <v>109</v>
      </c>
      <c r="E33" s="43">
        <f t="shared" si="4"/>
        <v>169.99999999999997</v>
      </c>
      <c r="F33" s="43">
        <f>F34+F35</f>
        <v>20</v>
      </c>
      <c r="G33" s="43">
        <f t="shared" ref="G33:M33" si="8">G34+G35</f>
        <v>21</v>
      </c>
      <c r="H33" s="43">
        <f t="shared" si="8"/>
        <v>22</v>
      </c>
      <c r="I33" s="43">
        <f t="shared" si="8"/>
        <v>23.1</v>
      </c>
      <c r="J33" s="43">
        <f t="shared" si="8"/>
        <v>24.3</v>
      </c>
      <c r="K33" s="43">
        <f t="shared" si="8"/>
        <v>25.5</v>
      </c>
      <c r="L33" s="43">
        <f t="shared" si="8"/>
        <v>26.5</v>
      </c>
      <c r="M33" s="43">
        <f t="shared" si="8"/>
        <v>7.6000000000000014</v>
      </c>
      <c r="P33" s="46"/>
      <c r="Q33" s="46"/>
      <c r="R33" s="46"/>
    </row>
    <row r="34" spans="1:19" ht="14.25" customHeight="1" x14ac:dyDescent="0.2">
      <c r="A34" s="116"/>
      <c r="B34" s="119"/>
      <c r="C34" s="122"/>
      <c r="D34" s="41" t="s">
        <v>11</v>
      </c>
      <c r="E34" s="43">
        <f t="shared" si="4"/>
        <v>169.99999999999997</v>
      </c>
      <c r="F34" s="43">
        <v>20</v>
      </c>
      <c r="G34" s="43">
        <v>21</v>
      </c>
      <c r="H34" s="43">
        <v>22</v>
      </c>
      <c r="I34" s="43">
        <v>23.1</v>
      </c>
      <c r="J34" s="43">
        <v>24.3</v>
      </c>
      <c r="K34" s="43">
        <v>25.5</v>
      </c>
      <c r="L34" s="43">
        <v>26.5</v>
      </c>
      <c r="M34" s="43">
        <f>27.6-20</f>
        <v>7.6000000000000014</v>
      </c>
    </row>
    <row r="35" spans="1:19" ht="22.5" customHeight="1" x14ac:dyDescent="0.2">
      <c r="A35" s="117"/>
      <c r="B35" s="120"/>
      <c r="C35" s="123"/>
      <c r="D35" s="41" t="s">
        <v>10</v>
      </c>
      <c r="E35" s="43">
        <f t="shared" si="4"/>
        <v>0</v>
      </c>
      <c r="F35" s="43">
        <v>0</v>
      </c>
      <c r="G35" s="43">
        <v>0</v>
      </c>
      <c r="H35" s="43">
        <v>0</v>
      </c>
      <c r="I35" s="43">
        <v>0</v>
      </c>
      <c r="J35" s="43">
        <v>0</v>
      </c>
      <c r="K35" s="43">
        <v>0</v>
      </c>
      <c r="L35" s="43">
        <v>0</v>
      </c>
      <c r="M35" s="43">
        <v>0</v>
      </c>
    </row>
    <row r="36" spans="1:19" ht="73.5" customHeight="1" x14ac:dyDescent="0.2">
      <c r="A36" s="115" t="s">
        <v>120</v>
      </c>
      <c r="B36" s="118" t="s">
        <v>421</v>
      </c>
      <c r="C36" s="121" t="s">
        <v>289</v>
      </c>
      <c r="D36" s="41" t="s">
        <v>109</v>
      </c>
      <c r="E36" s="43">
        <f t="shared" si="4"/>
        <v>278</v>
      </c>
      <c r="F36" s="43">
        <f>F38+F37</f>
        <v>25</v>
      </c>
      <c r="G36" s="43">
        <f t="shared" ref="G36:M36" si="9">G38+G37</f>
        <v>26.3</v>
      </c>
      <c r="H36" s="43">
        <f t="shared" si="9"/>
        <v>28</v>
      </c>
      <c r="I36" s="43">
        <f t="shared" si="9"/>
        <v>29.4</v>
      </c>
      <c r="J36" s="43">
        <f t="shared" si="9"/>
        <v>30.9</v>
      </c>
      <c r="K36" s="43">
        <f t="shared" si="9"/>
        <v>32.4</v>
      </c>
      <c r="L36" s="43">
        <f t="shared" si="9"/>
        <v>61.900000000000006</v>
      </c>
      <c r="M36" s="43">
        <f t="shared" si="9"/>
        <v>44.1</v>
      </c>
    </row>
    <row r="37" spans="1:19" ht="18" customHeight="1" x14ac:dyDescent="0.2">
      <c r="A37" s="116"/>
      <c r="B37" s="119"/>
      <c r="C37" s="122"/>
      <c r="D37" s="41" t="s">
        <v>11</v>
      </c>
      <c r="E37" s="43">
        <f t="shared" si="4"/>
        <v>278</v>
      </c>
      <c r="F37" s="43">
        <v>25</v>
      </c>
      <c r="G37" s="43">
        <v>26.3</v>
      </c>
      <c r="H37" s="43">
        <v>28</v>
      </c>
      <c r="I37" s="43">
        <v>29.4</v>
      </c>
      <c r="J37" s="43">
        <v>30.9</v>
      </c>
      <c r="K37" s="43">
        <v>32.4</v>
      </c>
      <c r="L37" s="43">
        <f>33.7+28.2</f>
        <v>61.900000000000006</v>
      </c>
      <c r="M37" s="43">
        <f>35--9.1</f>
        <v>44.1</v>
      </c>
    </row>
    <row r="38" spans="1:19" ht="13.5" customHeight="1" x14ac:dyDescent="0.2">
      <c r="A38" s="117"/>
      <c r="B38" s="120"/>
      <c r="C38" s="123"/>
      <c r="D38" s="41" t="s">
        <v>10</v>
      </c>
      <c r="E38" s="43">
        <f t="shared" si="4"/>
        <v>0</v>
      </c>
      <c r="F38" s="43">
        <v>0</v>
      </c>
      <c r="G38" s="43">
        <v>0</v>
      </c>
      <c r="H38" s="43">
        <v>0</v>
      </c>
      <c r="I38" s="43">
        <v>0</v>
      </c>
      <c r="J38" s="43">
        <v>0</v>
      </c>
      <c r="K38" s="43">
        <v>0</v>
      </c>
      <c r="L38" s="43">
        <v>0</v>
      </c>
      <c r="M38" s="43">
        <v>0</v>
      </c>
    </row>
    <row r="39" spans="1:19" ht="20.25" customHeight="1" x14ac:dyDescent="0.2">
      <c r="A39" s="115" t="s">
        <v>121</v>
      </c>
      <c r="B39" s="118" t="s">
        <v>21</v>
      </c>
      <c r="C39" s="121" t="s">
        <v>190</v>
      </c>
      <c r="D39" s="41" t="s">
        <v>109</v>
      </c>
      <c r="E39" s="43">
        <f t="shared" si="4"/>
        <v>91038.999999999985</v>
      </c>
      <c r="F39" s="43">
        <f>F40+F41</f>
        <v>7758.5</v>
      </c>
      <c r="G39" s="43">
        <f t="shared" ref="G39:M39" si="10">G40+G41</f>
        <v>8307.7999999999993</v>
      </c>
      <c r="H39" s="43">
        <f t="shared" si="10"/>
        <v>9353.9</v>
      </c>
      <c r="I39" s="43">
        <f t="shared" si="10"/>
        <v>10685.7</v>
      </c>
      <c r="J39" s="43">
        <f t="shared" si="10"/>
        <v>13069.8</v>
      </c>
      <c r="K39" s="43">
        <f t="shared" si="10"/>
        <v>13476.2</v>
      </c>
      <c r="L39" s="43">
        <f t="shared" si="10"/>
        <v>13763.4</v>
      </c>
      <c r="M39" s="43">
        <f t="shared" si="10"/>
        <v>14623.7</v>
      </c>
      <c r="N39" s="46"/>
      <c r="O39" s="46"/>
      <c r="P39" s="46"/>
    </row>
    <row r="40" spans="1:19" ht="14.25" customHeight="1" x14ac:dyDescent="0.2">
      <c r="A40" s="116"/>
      <c r="B40" s="119"/>
      <c r="C40" s="122"/>
      <c r="D40" s="41" t="s">
        <v>11</v>
      </c>
      <c r="E40" s="43">
        <f t="shared" si="4"/>
        <v>91038.999999999985</v>
      </c>
      <c r="F40" s="43">
        <v>7758.5</v>
      </c>
      <c r="G40" s="43">
        <v>8307.7999999999993</v>
      </c>
      <c r="H40" s="43">
        <v>9353.9</v>
      </c>
      <c r="I40" s="43">
        <f>10365.2+320.5</f>
        <v>10685.7</v>
      </c>
      <c r="J40" s="43">
        <v>13069.8</v>
      </c>
      <c r="K40" s="43">
        <f>13380.2+96</f>
        <v>13476.2</v>
      </c>
      <c r="L40" s="43">
        <f>13686.3+77.1</f>
        <v>13763.4</v>
      </c>
      <c r="M40" s="43">
        <f>14588.7+35</f>
        <v>14623.7</v>
      </c>
    </row>
    <row r="41" spans="1:19" ht="14.25" customHeight="1" x14ac:dyDescent="0.2">
      <c r="A41" s="117"/>
      <c r="B41" s="120"/>
      <c r="C41" s="123"/>
      <c r="D41" s="41" t="s">
        <v>10</v>
      </c>
      <c r="E41" s="43">
        <f t="shared" si="4"/>
        <v>0</v>
      </c>
      <c r="F41" s="43">
        <v>0</v>
      </c>
      <c r="G41" s="43">
        <v>0</v>
      </c>
      <c r="H41" s="43">
        <v>0</v>
      </c>
      <c r="I41" s="43">
        <v>0</v>
      </c>
      <c r="J41" s="43">
        <v>0</v>
      </c>
      <c r="K41" s="43">
        <v>0</v>
      </c>
      <c r="L41" s="43">
        <v>0</v>
      </c>
      <c r="M41" s="43">
        <v>0</v>
      </c>
    </row>
    <row r="42" spans="1:19" ht="59.25" customHeight="1" x14ac:dyDescent="0.2">
      <c r="A42" s="115" t="s">
        <v>122</v>
      </c>
      <c r="B42" s="118" t="s">
        <v>424</v>
      </c>
      <c r="C42" s="121" t="s">
        <v>261</v>
      </c>
      <c r="D42" s="41" t="s">
        <v>109</v>
      </c>
      <c r="E42" s="43">
        <f t="shared" si="4"/>
        <v>504.9</v>
      </c>
      <c r="F42" s="43">
        <f>F44+F43</f>
        <v>0</v>
      </c>
      <c r="G42" s="43">
        <f t="shared" ref="G42:M42" si="11">G44+G43</f>
        <v>77</v>
      </c>
      <c r="H42" s="43">
        <f t="shared" si="11"/>
        <v>81</v>
      </c>
      <c r="I42" s="43">
        <f t="shared" si="11"/>
        <v>84</v>
      </c>
      <c r="J42" s="43">
        <f t="shared" si="11"/>
        <v>88</v>
      </c>
      <c r="K42" s="43">
        <f t="shared" si="11"/>
        <v>79.2</v>
      </c>
      <c r="L42" s="43">
        <f t="shared" si="11"/>
        <v>95.7</v>
      </c>
      <c r="M42" s="43">
        <f t="shared" si="11"/>
        <v>0</v>
      </c>
      <c r="N42" s="46"/>
      <c r="O42" s="46"/>
      <c r="P42" s="46"/>
    </row>
    <row r="43" spans="1:19" ht="14.25" customHeight="1" x14ac:dyDescent="0.2">
      <c r="A43" s="116"/>
      <c r="B43" s="119"/>
      <c r="C43" s="122"/>
      <c r="D43" s="41" t="s">
        <v>11</v>
      </c>
      <c r="E43" s="43">
        <f t="shared" si="4"/>
        <v>504.9</v>
      </c>
      <c r="F43" s="41">
        <f>73-73</f>
        <v>0</v>
      </c>
      <c r="G43" s="43">
        <v>77</v>
      </c>
      <c r="H43" s="43">
        <v>81</v>
      </c>
      <c r="I43" s="43">
        <v>84</v>
      </c>
      <c r="J43" s="43">
        <v>88</v>
      </c>
      <c r="K43" s="43">
        <f>92-12.8</f>
        <v>79.2</v>
      </c>
      <c r="L43" s="43">
        <v>95.7</v>
      </c>
      <c r="M43" s="43">
        <f>99.5-99.5</f>
        <v>0</v>
      </c>
    </row>
    <row r="44" spans="1:19" ht="14.25" customHeight="1" x14ac:dyDescent="0.2">
      <c r="A44" s="117"/>
      <c r="B44" s="120"/>
      <c r="C44" s="123"/>
      <c r="D44" s="41" t="s">
        <v>10</v>
      </c>
      <c r="E44" s="43">
        <f t="shared" si="4"/>
        <v>0</v>
      </c>
      <c r="F44" s="43">
        <v>0</v>
      </c>
      <c r="G44" s="43">
        <v>0</v>
      </c>
      <c r="H44" s="43">
        <v>0</v>
      </c>
      <c r="I44" s="43">
        <v>0</v>
      </c>
      <c r="J44" s="43">
        <v>0</v>
      </c>
      <c r="K44" s="43">
        <v>0</v>
      </c>
      <c r="L44" s="43">
        <v>0</v>
      </c>
      <c r="M44" s="43">
        <v>0</v>
      </c>
    </row>
    <row r="45" spans="1:19" ht="59.25" customHeight="1" x14ac:dyDescent="0.2">
      <c r="A45" s="115" t="s">
        <v>123</v>
      </c>
      <c r="B45" s="118" t="s">
        <v>236</v>
      </c>
      <c r="C45" s="121" t="s">
        <v>261</v>
      </c>
      <c r="D45" s="41" t="s">
        <v>109</v>
      </c>
      <c r="E45" s="43">
        <f t="shared" si="4"/>
        <v>186.6</v>
      </c>
      <c r="F45" s="43">
        <f>F46+F47</f>
        <v>0</v>
      </c>
      <c r="G45" s="43">
        <f t="shared" ref="G45:M45" si="12">G46+G47</f>
        <v>33</v>
      </c>
      <c r="H45" s="43">
        <f t="shared" si="12"/>
        <v>35</v>
      </c>
      <c r="I45" s="43">
        <f t="shared" si="12"/>
        <v>37</v>
      </c>
      <c r="J45" s="43">
        <f t="shared" si="12"/>
        <v>39</v>
      </c>
      <c r="K45" s="43">
        <f t="shared" si="12"/>
        <v>0</v>
      </c>
      <c r="L45" s="43">
        <f t="shared" si="12"/>
        <v>42.6</v>
      </c>
      <c r="M45" s="43">
        <f t="shared" si="12"/>
        <v>0</v>
      </c>
    </row>
    <row r="46" spans="1:19" ht="14.25" customHeight="1" x14ac:dyDescent="0.2">
      <c r="A46" s="116"/>
      <c r="B46" s="119"/>
      <c r="C46" s="122"/>
      <c r="D46" s="41" t="s">
        <v>11</v>
      </c>
      <c r="E46" s="43">
        <f t="shared" si="4"/>
        <v>186.6</v>
      </c>
      <c r="F46" s="43">
        <f>31-31</f>
        <v>0</v>
      </c>
      <c r="G46" s="43">
        <v>33</v>
      </c>
      <c r="H46" s="43">
        <v>35</v>
      </c>
      <c r="I46" s="43">
        <v>37</v>
      </c>
      <c r="J46" s="43">
        <v>39</v>
      </c>
      <c r="K46" s="43">
        <f>15.8-15.8</f>
        <v>0</v>
      </c>
      <c r="L46" s="43">
        <v>42.6</v>
      </c>
      <c r="M46" s="43">
        <f>44.3-44.3</f>
        <v>0</v>
      </c>
    </row>
    <row r="47" spans="1:19" ht="14.25" customHeight="1" x14ac:dyDescent="0.2">
      <c r="A47" s="117"/>
      <c r="B47" s="120"/>
      <c r="C47" s="123"/>
      <c r="D47" s="41" t="s">
        <v>10</v>
      </c>
      <c r="E47" s="43">
        <f t="shared" si="4"/>
        <v>0</v>
      </c>
      <c r="F47" s="43">
        <v>0</v>
      </c>
      <c r="G47" s="43">
        <v>0</v>
      </c>
      <c r="H47" s="43">
        <v>0</v>
      </c>
      <c r="I47" s="43">
        <v>0</v>
      </c>
      <c r="J47" s="43">
        <v>0</v>
      </c>
      <c r="K47" s="43">
        <v>0</v>
      </c>
      <c r="L47" s="43">
        <v>0</v>
      </c>
      <c r="M47" s="43">
        <v>0</v>
      </c>
      <c r="Q47" s="46"/>
      <c r="R47" s="46"/>
      <c r="S47" s="46"/>
    </row>
    <row r="48" spans="1:19" ht="59.25" customHeight="1" x14ac:dyDescent="0.2">
      <c r="A48" s="115" t="s">
        <v>124</v>
      </c>
      <c r="B48" s="118" t="s">
        <v>237</v>
      </c>
      <c r="C48" s="121" t="s">
        <v>249</v>
      </c>
      <c r="D48" s="41" t="s">
        <v>109</v>
      </c>
      <c r="E48" s="43">
        <f t="shared" si="4"/>
        <v>440.5</v>
      </c>
      <c r="F48" s="43">
        <f>F49+F50</f>
        <v>0</v>
      </c>
      <c r="G48" s="43">
        <f t="shared" ref="G48:M48" si="13">G49+G50</f>
        <v>55</v>
      </c>
      <c r="H48" s="43">
        <f t="shared" si="13"/>
        <v>58</v>
      </c>
      <c r="I48" s="43">
        <f t="shared" si="13"/>
        <v>61</v>
      </c>
      <c r="J48" s="43">
        <f t="shared" si="13"/>
        <v>64</v>
      </c>
      <c r="K48" s="43">
        <f t="shared" si="13"/>
        <v>67</v>
      </c>
      <c r="L48" s="43">
        <f t="shared" si="13"/>
        <v>37</v>
      </c>
      <c r="M48" s="43">
        <f t="shared" si="13"/>
        <v>98.500000000000014</v>
      </c>
    </row>
    <row r="49" spans="1:13" ht="14.25" customHeight="1" x14ac:dyDescent="0.2">
      <c r="A49" s="116"/>
      <c r="B49" s="119"/>
      <c r="C49" s="122"/>
      <c r="D49" s="41" t="s">
        <v>11</v>
      </c>
      <c r="E49" s="43">
        <f t="shared" si="4"/>
        <v>440.5</v>
      </c>
      <c r="F49" s="43">
        <v>0</v>
      </c>
      <c r="G49" s="43">
        <v>55</v>
      </c>
      <c r="H49" s="43">
        <v>58</v>
      </c>
      <c r="I49" s="43">
        <v>61</v>
      </c>
      <c r="J49" s="43">
        <v>64</v>
      </c>
      <c r="K49" s="43">
        <v>67</v>
      </c>
      <c r="L49" s="43">
        <f>69.7-22.5-10.2</f>
        <v>37</v>
      </c>
      <c r="M49" s="43">
        <f>72.5+143.8-117.8</f>
        <v>98.500000000000014</v>
      </c>
    </row>
    <row r="50" spans="1:13" ht="14.25" customHeight="1" x14ac:dyDescent="0.2">
      <c r="A50" s="117"/>
      <c r="B50" s="120"/>
      <c r="C50" s="123"/>
      <c r="D50" s="41" t="s">
        <v>10</v>
      </c>
      <c r="E50" s="43">
        <f t="shared" si="4"/>
        <v>0</v>
      </c>
      <c r="F50" s="43">
        <v>0</v>
      </c>
      <c r="G50" s="43">
        <v>0</v>
      </c>
      <c r="H50" s="43">
        <v>0</v>
      </c>
      <c r="I50" s="43">
        <v>0</v>
      </c>
      <c r="J50" s="43">
        <v>0</v>
      </c>
      <c r="K50" s="43">
        <v>0</v>
      </c>
      <c r="L50" s="43">
        <v>0</v>
      </c>
      <c r="M50" s="43">
        <v>0</v>
      </c>
    </row>
    <row r="51" spans="1:13" ht="59.25" customHeight="1" x14ac:dyDescent="0.2">
      <c r="A51" s="115" t="s">
        <v>125</v>
      </c>
      <c r="B51" s="118" t="s">
        <v>22</v>
      </c>
      <c r="C51" s="121" t="s">
        <v>249</v>
      </c>
      <c r="D51" s="41" t="s">
        <v>109</v>
      </c>
      <c r="E51" s="43">
        <f t="shared" si="4"/>
        <v>53.3</v>
      </c>
      <c r="F51" s="43">
        <f>F52+F53</f>
        <v>53.3</v>
      </c>
      <c r="G51" s="43">
        <f t="shared" ref="G51:M51" si="14">G52+G53</f>
        <v>0</v>
      </c>
      <c r="H51" s="43">
        <f t="shared" si="14"/>
        <v>0</v>
      </c>
      <c r="I51" s="43">
        <f t="shared" si="14"/>
        <v>0</v>
      </c>
      <c r="J51" s="43">
        <f t="shared" si="14"/>
        <v>0</v>
      </c>
      <c r="K51" s="43">
        <f t="shared" si="14"/>
        <v>0</v>
      </c>
      <c r="L51" s="43">
        <f t="shared" si="14"/>
        <v>0</v>
      </c>
      <c r="M51" s="43">
        <f t="shared" si="14"/>
        <v>0</v>
      </c>
    </row>
    <row r="52" spans="1:13" ht="14.25" customHeight="1" x14ac:dyDescent="0.2">
      <c r="A52" s="116"/>
      <c r="B52" s="119"/>
      <c r="C52" s="122"/>
      <c r="D52" s="41" t="s">
        <v>11</v>
      </c>
      <c r="E52" s="43">
        <f t="shared" si="4"/>
        <v>53.3</v>
      </c>
      <c r="F52" s="43">
        <f>105-51.7</f>
        <v>53.3</v>
      </c>
      <c r="G52" s="43">
        <v>0</v>
      </c>
      <c r="H52" s="43">
        <v>0</v>
      </c>
      <c r="I52" s="43">
        <v>0</v>
      </c>
      <c r="J52" s="43">
        <v>0</v>
      </c>
      <c r="K52" s="43">
        <f>60-60</f>
        <v>0</v>
      </c>
      <c r="L52" s="43">
        <v>0</v>
      </c>
      <c r="M52" s="43">
        <v>0</v>
      </c>
    </row>
    <row r="53" spans="1:13" ht="14.25" customHeight="1" x14ac:dyDescent="0.2">
      <c r="A53" s="117"/>
      <c r="B53" s="120"/>
      <c r="C53" s="123"/>
      <c r="D53" s="41" t="s">
        <v>10</v>
      </c>
      <c r="E53" s="43">
        <f t="shared" si="4"/>
        <v>0</v>
      </c>
      <c r="F53" s="43">
        <v>0</v>
      </c>
      <c r="G53" s="43">
        <v>0</v>
      </c>
      <c r="H53" s="43">
        <v>0</v>
      </c>
      <c r="I53" s="43">
        <v>0</v>
      </c>
      <c r="J53" s="43">
        <v>0</v>
      </c>
      <c r="K53" s="43">
        <v>0</v>
      </c>
      <c r="L53" s="43">
        <v>0</v>
      </c>
      <c r="M53" s="43">
        <v>0</v>
      </c>
    </row>
    <row r="54" spans="1:13" ht="83.25" customHeight="1" x14ac:dyDescent="0.2">
      <c r="A54" s="115" t="s">
        <v>126</v>
      </c>
      <c r="B54" s="118" t="s">
        <v>23</v>
      </c>
      <c r="C54" s="121" t="s">
        <v>249</v>
      </c>
      <c r="D54" s="41" t="s">
        <v>109</v>
      </c>
      <c r="E54" s="43">
        <f t="shared" si="4"/>
        <v>479</v>
      </c>
      <c r="F54" s="43">
        <f>F55+F56</f>
        <v>73</v>
      </c>
      <c r="G54" s="43">
        <f t="shared" ref="G54:M54" si="15">G55+G56</f>
        <v>77</v>
      </c>
      <c r="H54" s="43">
        <f t="shared" si="15"/>
        <v>81</v>
      </c>
      <c r="I54" s="43">
        <f t="shared" si="15"/>
        <v>84</v>
      </c>
      <c r="J54" s="43">
        <f t="shared" si="15"/>
        <v>0</v>
      </c>
      <c r="K54" s="43">
        <f t="shared" si="15"/>
        <v>68</v>
      </c>
      <c r="L54" s="43">
        <f t="shared" si="15"/>
        <v>96</v>
      </c>
      <c r="M54" s="43">
        <f t="shared" si="15"/>
        <v>0</v>
      </c>
    </row>
    <row r="55" spans="1:13" ht="14.25" customHeight="1" x14ac:dyDescent="0.2">
      <c r="A55" s="116"/>
      <c r="B55" s="119"/>
      <c r="C55" s="122"/>
      <c r="D55" s="41" t="s">
        <v>11</v>
      </c>
      <c r="E55" s="43">
        <f t="shared" si="4"/>
        <v>479</v>
      </c>
      <c r="F55" s="43">
        <v>73</v>
      </c>
      <c r="G55" s="43">
        <v>77</v>
      </c>
      <c r="H55" s="43">
        <v>81</v>
      </c>
      <c r="I55" s="43">
        <v>84</v>
      </c>
      <c r="J55" s="43">
        <v>0</v>
      </c>
      <c r="K55" s="43">
        <v>68</v>
      </c>
      <c r="L55" s="43">
        <v>96</v>
      </c>
      <c r="M55" s="43">
        <f>100-100</f>
        <v>0</v>
      </c>
    </row>
    <row r="56" spans="1:13" ht="20.25" customHeight="1" x14ac:dyDescent="0.2">
      <c r="A56" s="117"/>
      <c r="B56" s="120"/>
      <c r="C56" s="123"/>
      <c r="D56" s="41" t="s">
        <v>10</v>
      </c>
      <c r="E56" s="43">
        <f t="shared" si="4"/>
        <v>0</v>
      </c>
      <c r="F56" s="43">
        <v>0</v>
      </c>
      <c r="G56" s="43">
        <v>0</v>
      </c>
      <c r="H56" s="43">
        <v>0</v>
      </c>
      <c r="I56" s="43">
        <v>0</v>
      </c>
      <c r="J56" s="43">
        <v>0</v>
      </c>
      <c r="K56" s="43">
        <v>0</v>
      </c>
      <c r="L56" s="43">
        <v>0</v>
      </c>
      <c r="M56" s="43">
        <v>0</v>
      </c>
    </row>
    <row r="57" spans="1:13" ht="59.25" customHeight="1" x14ac:dyDescent="0.2">
      <c r="A57" s="115" t="s">
        <v>127</v>
      </c>
      <c r="B57" s="118" t="s">
        <v>250</v>
      </c>
      <c r="C57" s="121" t="s">
        <v>249</v>
      </c>
      <c r="D57" s="41" t="s">
        <v>109</v>
      </c>
      <c r="E57" s="43">
        <f t="shared" si="4"/>
        <v>55</v>
      </c>
      <c r="F57" s="43">
        <f>F58+F59</f>
        <v>0</v>
      </c>
      <c r="G57" s="43">
        <f t="shared" ref="G57:M57" si="16">G58+G59</f>
        <v>55</v>
      </c>
      <c r="H57" s="43">
        <f t="shared" si="16"/>
        <v>0</v>
      </c>
      <c r="I57" s="43">
        <f t="shared" si="16"/>
        <v>0</v>
      </c>
      <c r="J57" s="43">
        <f t="shared" si="16"/>
        <v>0</v>
      </c>
      <c r="K57" s="43">
        <f t="shared" si="16"/>
        <v>0</v>
      </c>
      <c r="L57" s="43">
        <f t="shared" si="16"/>
        <v>0</v>
      </c>
      <c r="M57" s="43">
        <f t="shared" si="16"/>
        <v>0</v>
      </c>
    </row>
    <row r="58" spans="1:13" ht="14.25" customHeight="1" x14ac:dyDescent="0.2">
      <c r="A58" s="116"/>
      <c r="B58" s="119"/>
      <c r="C58" s="122"/>
      <c r="D58" s="41" t="s">
        <v>11</v>
      </c>
      <c r="E58" s="43">
        <f t="shared" si="4"/>
        <v>55</v>
      </c>
      <c r="F58" s="43">
        <v>0</v>
      </c>
      <c r="G58" s="43">
        <v>55</v>
      </c>
      <c r="H58" s="43">
        <v>0</v>
      </c>
      <c r="I58" s="43">
        <v>0</v>
      </c>
      <c r="J58" s="43">
        <v>0</v>
      </c>
      <c r="K58" s="43">
        <v>0</v>
      </c>
      <c r="L58" s="43">
        <v>0</v>
      </c>
      <c r="M58" s="43">
        <f>66-66</f>
        <v>0</v>
      </c>
    </row>
    <row r="59" spans="1:13" ht="14.25" customHeight="1" x14ac:dyDescent="0.2">
      <c r="A59" s="117"/>
      <c r="B59" s="120"/>
      <c r="C59" s="123"/>
      <c r="D59" s="41" t="s">
        <v>10</v>
      </c>
      <c r="E59" s="43">
        <f t="shared" si="4"/>
        <v>0</v>
      </c>
      <c r="F59" s="43">
        <v>0</v>
      </c>
      <c r="G59" s="43">
        <v>0</v>
      </c>
      <c r="H59" s="43">
        <v>0</v>
      </c>
      <c r="I59" s="43">
        <v>0</v>
      </c>
      <c r="J59" s="43">
        <v>0</v>
      </c>
      <c r="K59" s="43">
        <v>0</v>
      </c>
      <c r="L59" s="43">
        <v>0</v>
      </c>
      <c r="M59" s="43">
        <v>0</v>
      </c>
    </row>
    <row r="60" spans="1:13" ht="59.25" customHeight="1" x14ac:dyDescent="0.2">
      <c r="A60" s="115" t="s">
        <v>128</v>
      </c>
      <c r="B60" s="118" t="s">
        <v>242</v>
      </c>
      <c r="C60" s="121" t="s">
        <v>249</v>
      </c>
      <c r="D60" s="41" t="s">
        <v>109</v>
      </c>
      <c r="E60" s="43">
        <f t="shared" si="4"/>
        <v>742.8</v>
      </c>
      <c r="F60" s="47">
        <f>F61+F62</f>
        <v>742.8</v>
      </c>
      <c r="G60" s="47">
        <f t="shared" ref="G60:M60" si="17">G61+G62</f>
        <v>0</v>
      </c>
      <c r="H60" s="47">
        <f t="shared" si="17"/>
        <v>0</v>
      </c>
      <c r="I60" s="47">
        <f t="shared" si="17"/>
        <v>0</v>
      </c>
      <c r="J60" s="47">
        <f t="shared" si="17"/>
        <v>0</v>
      </c>
      <c r="K60" s="47">
        <v>0</v>
      </c>
      <c r="L60" s="47">
        <f t="shared" si="17"/>
        <v>0</v>
      </c>
      <c r="M60" s="47">
        <f t="shared" si="17"/>
        <v>0</v>
      </c>
    </row>
    <row r="61" spans="1:13" ht="14.25" customHeight="1" x14ac:dyDescent="0.2">
      <c r="A61" s="116"/>
      <c r="B61" s="119"/>
      <c r="C61" s="122"/>
      <c r="D61" s="41" t="s">
        <v>11</v>
      </c>
      <c r="E61" s="43">
        <f t="shared" si="4"/>
        <v>742.8</v>
      </c>
      <c r="F61" s="47">
        <f>732+10.8</f>
        <v>742.8</v>
      </c>
      <c r="G61" s="47">
        <v>0</v>
      </c>
      <c r="H61" s="47">
        <v>0</v>
      </c>
      <c r="I61" s="47">
        <v>0</v>
      </c>
      <c r="J61" s="47">
        <v>0</v>
      </c>
      <c r="K61" s="47">
        <f>735-735</f>
        <v>0</v>
      </c>
      <c r="L61" s="43">
        <v>0</v>
      </c>
      <c r="M61" s="43">
        <v>0</v>
      </c>
    </row>
    <row r="62" spans="1:13" ht="14.25" customHeight="1" x14ac:dyDescent="0.2">
      <c r="A62" s="117"/>
      <c r="B62" s="120"/>
      <c r="C62" s="123"/>
      <c r="D62" s="41" t="s">
        <v>10</v>
      </c>
      <c r="E62" s="43">
        <f t="shared" si="4"/>
        <v>0</v>
      </c>
      <c r="F62" s="43">
        <v>0</v>
      </c>
      <c r="G62" s="43">
        <v>0</v>
      </c>
      <c r="H62" s="43">
        <v>0</v>
      </c>
      <c r="I62" s="43">
        <v>0</v>
      </c>
      <c r="J62" s="43">
        <v>0</v>
      </c>
      <c r="K62" s="43">
        <v>0</v>
      </c>
      <c r="L62" s="43">
        <v>0</v>
      </c>
      <c r="M62" s="43">
        <v>0</v>
      </c>
    </row>
    <row r="63" spans="1:13" ht="59.25" customHeight="1" x14ac:dyDescent="0.2">
      <c r="A63" s="115" t="s">
        <v>129</v>
      </c>
      <c r="B63" s="118" t="s">
        <v>191</v>
      </c>
      <c r="C63" s="121" t="s">
        <v>249</v>
      </c>
      <c r="D63" s="41" t="s">
        <v>109</v>
      </c>
      <c r="E63" s="43">
        <f t="shared" si="4"/>
        <v>1169.7</v>
      </c>
      <c r="F63" s="47">
        <f>F64+F65</f>
        <v>450</v>
      </c>
      <c r="G63" s="47">
        <f t="shared" ref="G63:I63" si="18">G64+G65</f>
        <v>0</v>
      </c>
      <c r="H63" s="47">
        <f t="shared" si="18"/>
        <v>0</v>
      </c>
      <c r="I63" s="47">
        <f t="shared" si="18"/>
        <v>0</v>
      </c>
      <c r="J63" s="47">
        <f>J64</f>
        <v>70</v>
      </c>
      <c r="K63" s="47">
        <f>K64</f>
        <v>99.7</v>
      </c>
      <c r="L63" s="47">
        <f t="shared" ref="L63:M63" si="19">L64</f>
        <v>100</v>
      </c>
      <c r="M63" s="47">
        <f t="shared" si="19"/>
        <v>450</v>
      </c>
    </row>
    <row r="64" spans="1:13" ht="14.25" customHeight="1" x14ac:dyDescent="0.2">
      <c r="A64" s="116"/>
      <c r="B64" s="119"/>
      <c r="C64" s="122"/>
      <c r="D64" s="41" t="s">
        <v>11</v>
      </c>
      <c r="E64" s="43">
        <f t="shared" si="4"/>
        <v>1169.7</v>
      </c>
      <c r="F64" s="43">
        <v>450</v>
      </c>
      <c r="G64" s="43">
        <v>0</v>
      </c>
      <c r="H64" s="43">
        <v>0</v>
      </c>
      <c r="I64" s="43">
        <v>0</v>
      </c>
      <c r="J64" s="43">
        <v>70</v>
      </c>
      <c r="K64" s="43">
        <v>99.7</v>
      </c>
      <c r="L64" s="43">
        <f>77.5+22.5</f>
        <v>100</v>
      </c>
      <c r="M64" s="43">
        <f>80.6+85.6+100+66+117.8</f>
        <v>450</v>
      </c>
    </row>
    <row r="65" spans="1:16" ht="14.25" customHeight="1" x14ac:dyDescent="0.2">
      <c r="A65" s="117"/>
      <c r="B65" s="120"/>
      <c r="C65" s="123"/>
      <c r="D65" s="41" t="s">
        <v>10</v>
      </c>
      <c r="E65" s="43">
        <f t="shared" si="4"/>
        <v>0</v>
      </c>
      <c r="F65" s="43">
        <v>0</v>
      </c>
      <c r="G65" s="43">
        <v>0</v>
      </c>
      <c r="H65" s="43">
        <v>0</v>
      </c>
      <c r="I65" s="43">
        <v>0</v>
      </c>
      <c r="J65" s="43">
        <v>0</v>
      </c>
      <c r="K65" s="43">
        <v>0</v>
      </c>
      <c r="L65" s="43">
        <v>0</v>
      </c>
      <c r="M65" s="43">
        <v>0</v>
      </c>
      <c r="P65" s="46"/>
    </row>
    <row r="66" spans="1:16" ht="14.25" customHeight="1" x14ac:dyDescent="0.2">
      <c r="A66" s="115" t="s">
        <v>130</v>
      </c>
      <c r="B66" s="118" t="s">
        <v>24</v>
      </c>
      <c r="C66" s="121" t="s">
        <v>25</v>
      </c>
      <c r="D66" s="41" t="s">
        <v>109</v>
      </c>
      <c r="E66" s="43">
        <f t="shared" si="4"/>
        <v>61</v>
      </c>
      <c r="F66" s="43">
        <f>F67+F68</f>
        <v>0</v>
      </c>
      <c r="G66" s="43">
        <f t="shared" ref="G66:M66" si="20">G67+G68</f>
        <v>61</v>
      </c>
      <c r="H66" s="43">
        <f t="shared" si="20"/>
        <v>0</v>
      </c>
      <c r="I66" s="43">
        <f t="shared" si="20"/>
        <v>0</v>
      </c>
      <c r="J66" s="43">
        <f t="shared" si="20"/>
        <v>0</v>
      </c>
      <c r="K66" s="43">
        <f t="shared" si="20"/>
        <v>0</v>
      </c>
      <c r="L66" s="43">
        <f t="shared" si="20"/>
        <v>0</v>
      </c>
      <c r="M66" s="43">
        <f t="shared" si="20"/>
        <v>0</v>
      </c>
    </row>
    <row r="67" spans="1:16" ht="14.25" customHeight="1" x14ac:dyDescent="0.2">
      <c r="A67" s="116"/>
      <c r="B67" s="119"/>
      <c r="C67" s="122"/>
      <c r="D67" s="41" t="s">
        <v>11</v>
      </c>
      <c r="E67" s="43">
        <f t="shared" si="4"/>
        <v>61</v>
      </c>
      <c r="F67" s="43">
        <v>0</v>
      </c>
      <c r="G67" s="43">
        <v>61</v>
      </c>
      <c r="H67" s="43">
        <v>0</v>
      </c>
      <c r="I67" s="43">
        <v>0</v>
      </c>
      <c r="J67" s="43">
        <v>0</v>
      </c>
      <c r="K67" s="43">
        <v>0</v>
      </c>
      <c r="L67" s="43">
        <v>0</v>
      </c>
      <c r="M67" s="43">
        <v>0</v>
      </c>
    </row>
    <row r="68" spans="1:16" ht="14.25" customHeight="1" x14ac:dyDescent="0.2">
      <c r="A68" s="117"/>
      <c r="B68" s="120"/>
      <c r="C68" s="123"/>
      <c r="D68" s="41" t="s">
        <v>10</v>
      </c>
      <c r="E68" s="43">
        <f t="shared" si="4"/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  <c r="K68" s="43">
        <v>0</v>
      </c>
      <c r="L68" s="43">
        <v>0</v>
      </c>
      <c r="M68" s="43">
        <v>0</v>
      </c>
    </row>
    <row r="69" spans="1:16" ht="63.75" customHeight="1" x14ac:dyDescent="0.2">
      <c r="A69" s="127" t="s">
        <v>286</v>
      </c>
      <c r="B69" s="112" t="s">
        <v>290</v>
      </c>
      <c r="C69" s="121" t="s">
        <v>249</v>
      </c>
      <c r="D69" s="41" t="s">
        <v>109</v>
      </c>
      <c r="E69" s="43">
        <f>E70+E71</f>
        <v>12.9</v>
      </c>
      <c r="F69" s="43">
        <f t="shared" ref="F69:M69" si="21">F70+F71</f>
        <v>0</v>
      </c>
      <c r="G69" s="43">
        <f t="shared" si="21"/>
        <v>0</v>
      </c>
      <c r="H69" s="43">
        <f t="shared" si="21"/>
        <v>0</v>
      </c>
      <c r="I69" s="43">
        <f t="shared" si="21"/>
        <v>0</v>
      </c>
      <c r="J69" s="43">
        <f t="shared" si="21"/>
        <v>0</v>
      </c>
      <c r="K69" s="43">
        <f>K70+K71</f>
        <v>12.9</v>
      </c>
      <c r="L69" s="43">
        <f t="shared" si="21"/>
        <v>0</v>
      </c>
      <c r="M69" s="43">
        <f t="shared" si="21"/>
        <v>0</v>
      </c>
    </row>
    <row r="70" spans="1:16" ht="14.25" customHeight="1" x14ac:dyDescent="0.2">
      <c r="A70" s="128"/>
      <c r="B70" s="112"/>
      <c r="C70" s="122"/>
      <c r="D70" s="41" t="s">
        <v>11</v>
      </c>
      <c r="E70" s="43">
        <f>SUM(F70:M70)</f>
        <v>12.9</v>
      </c>
      <c r="F70" s="43">
        <v>0</v>
      </c>
      <c r="G70" s="43">
        <v>0</v>
      </c>
      <c r="H70" s="43">
        <v>0</v>
      </c>
      <c r="I70" s="43">
        <v>0</v>
      </c>
      <c r="J70" s="43">
        <v>0</v>
      </c>
      <c r="K70" s="43">
        <v>12.9</v>
      </c>
      <c r="L70" s="43">
        <v>0</v>
      </c>
      <c r="M70" s="43">
        <v>0</v>
      </c>
    </row>
    <row r="71" spans="1:16" ht="14.25" customHeight="1" x14ac:dyDescent="0.2">
      <c r="A71" s="129"/>
      <c r="B71" s="112"/>
      <c r="C71" s="123"/>
      <c r="D71" s="41" t="s">
        <v>10</v>
      </c>
      <c r="E71" s="43">
        <f>SUM(F71:M71)</f>
        <v>0</v>
      </c>
      <c r="F71" s="43">
        <v>0</v>
      </c>
      <c r="G71" s="43">
        <v>0</v>
      </c>
      <c r="H71" s="43">
        <v>0</v>
      </c>
      <c r="I71" s="43">
        <v>0</v>
      </c>
      <c r="J71" s="43">
        <v>0</v>
      </c>
      <c r="K71" s="43">
        <v>0</v>
      </c>
      <c r="L71" s="43">
        <v>0</v>
      </c>
      <c r="M71" s="43">
        <v>0</v>
      </c>
    </row>
    <row r="72" spans="1:16" ht="14.25" customHeight="1" x14ac:dyDescent="0.2">
      <c r="A72" s="133" t="s">
        <v>183</v>
      </c>
      <c r="B72" s="134"/>
      <c r="C72" s="135"/>
      <c r="D72" s="41" t="s">
        <v>109</v>
      </c>
      <c r="E72" s="43">
        <f>E73+E74</f>
        <v>97687.6</v>
      </c>
      <c r="F72" s="43">
        <f>F73+F74</f>
        <v>9417.5999999999985</v>
      </c>
      <c r="G72" s="43">
        <f t="shared" ref="G72:M72" si="22">G73+G74</f>
        <v>8891.5999999999985</v>
      </c>
      <c r="H72" s="43">
        <f t="shared" si="22"/>
        <v>9984.1</v>
      </c>
      <c r="I72" s="43">
        <f t="shared" si="22"/>
        <v>11201</v>
      </c>
      <c r="J72" s="43">
        <f t="shared" si="22"/>
        <v>13744.699999999999</v>
      </c>
      <c r="K72" s="43">
        <f t="shared" si="22"/>
        <v>13924.500000000002</v>
      </c>
      <c r="L72" s="43">
        <f t="shared" si="22"/>
        <v>14577.6</v>
      </c>
      <c r="M72" s="43">
        <f t="shared" si="22"/>
        <v>15946.5</v>
      </c>
      <c r="O72" s="46"/>
    </row>
    <row r="73" spans="1:16" ht="14.25" customHeight="1" x14ac:dyDescent="0.2">
      <c r="A73" s="136"/>
      <c r="B73" s="137"/>
      <c r="C73" s="138"/>
      <c r="D73" s="41" t="s">
        <v>11</v>
      </c>
      <c r="E73" s="43">
        <f>SUM(F73:M73)</f>
        <v>97687.6</v>
      </c>
      <c r="F73" s="43">
        <f>F13+F16+F21+F25+F28+F31+F34+F37+F40+F43+F46+F49+F52+F55+F58+F61+F64+F67+F70</f>
        <v>9417.5999999999985</v>
      </c>
      <c r="G73" s="43">
        <f t="shared" ref="G73:M73" si="23">G13+G16+G21+G25+G28+G31+G34+G37+G40+G43+G46+G49+G52+G55+G58+G61+G64+G67+G70</f>
        <v>8891.5999999999985</v>
      </c>
      <c r="H73" s="43">
        <f t="shared" si="23"/>
        <v>9984.1</v>
      </c>
      <c r="I73" s="43">
        <f t="shared" si="23"/>
        <v>11201</v>
      </c>
      <c r="J73" s="43">
        <f t="shared" si="23"/>
        <v>13744.699999999999</v>
      </c>
      <c r="K73" s="43">
        <f t="shared" si="23"/>
        <v>13924.500000000002</v>
      </c>
      <c r="L73" s="43">
        <f t="shared" si="23"/>
        <v>14577.6</v>
      </c>
      <c r="M73" s="43">
        <f t="shared" si="23"/>
        <v>15946.5</v>
      </c>
    </row>
    <row r="74" spans="1:16" ht="14.25" customHeight="1" x14ac:dyDescent="0.2">
      <c r="A74" s="139"/>
      <c r="B74" s="140"/>
      <c r="C74" s="141"/>
      <c r="D74" s="41" t="s">
        <v>10</v>
      </c>
      <c r="E74" s="43">
        <f>SUM(F74:M74)</f>
        <v>0</v>
      </c>
      <c r="F74" s="43">
        <v>0</v>
      </c>
      <c r="G74" s="43">
        <v>0</v>
      </c>
      <c r="H74" s="43">
        <v>0</v>
      </c>
      <c r="I74" s="43">
        <v>0</v>
      </c>
      <c r="J74" s="43">
        <v>0</v>
      </c>
      <c r="K74" s="43">
        <v>0</v>
      </c>
      <c r="L74" s="43">
        <v>0</v>
      </c>
      <c r="M74" s="43">
        <v>0</v>
      </c>
      <c r="N74" s="46"/>
    </row>
    <row r="75" spans="1:16" ht="21" customHeight="1" x14ac:dyDescent="0.2">
      <c r="A75" s="142" t="s">
        <v>409</v>
      </c>
      <c r="B75" s="142"/>
      <c r="C75" s="142"/>
      <c r="D75" s="142"/>
      <c r="E75" s="142"/>
      <c r="F75" s="142"/>
      <c r="G75" s="142"/>
      <c r="H75" s="142"/>
      <c r="I75" s="142"/>
      <c r="J75" s="142"/>
      <c r="K75" s="142"/>
      <c r="L75" s="142"/>
      <c r="M75" s="142"/>
    </row>
    <row r="76" spans="1:16" ht="76.5" customHeight="1" x14ac:dyDescent="0.2">
      <c r="A76" s="115" t="s">
        <v>131</v>
      </c>
      <c r="B76" s="118" t="s">
        <v>203</v>
      </c>
      <c r="C76" s="121" t="s">
        <v>296</v>
      </c>
      <c r="D76" s="41" t="s">
        <v>109</v>
      </c>
      <c r="E76" s="43">
        <f t="shared" ref="E76:E121" si="24">SUM(F76:M76)</f>
        <v>2662.5</v>
      </c>
      <c r="F76" s="48">
        <f>F77+F78</f>
        <v>280</v>
      </c>
      <c r="G76" s="48">
        <f t="shared" ref="G76:M76" si="25">G77+G78</f>
        <v>294</v>
      </c>
      <c r="H76" s="48">
        <f t="shared" si="25"/>
        <v>308.7</v>
      </c>
      <c r="I76" s="48">
        <f t="shared" si="25"/>
        <v>324.10000000000002</v>
      </c>
      <c r="J76" s="48">
        <f t="shared" si="25"/>
        <v>340.3</v>
      </c>
      <c r="K76" s="48">
        <f t="shared" si="25"/>
        <v>357.3</v>
      </c>
      <c r="L76" s="48">
        <f t="shared" si="25"/>
        <v>371.6</v>
      </c>
      <c r="M76" s="48">
        <f t="shared" si="25"/>
        <v>386.5</v>
      </c>
    </row>
    <row r="77" spans="1:16" ht="14.25" customHeight="1" x14ac:dyDescent="0.2">
      <c r="A77" s="116"/>
      <c r="B77" s="119"/>
      <c r="C77" s="122"/>
      <c r="D77" s="41" t="s">
        <v>11</v>
      </c>
      <c r="E77" s="43">
        <f t="shared" si="24"/>
        <v>2662.5</v>
      </c>
      <c r="F77" s="43">
        <v>280</v>
      </c>
      <c r="G77" s="43">
        <v>294</v>
      </c>
      <c r="H77" s="43">
        <v>308.7</v>
      </c>
      <c r="I77" s="43">
        <v>324.10000000000002</v>
      </c>
      <c r="J77" s="43">
        <v>340.3</v>
      </c>
      <c r="K77" s="43">
        <v>357.3</v>
      </c>
      <c r="L77" s="43">
        <v>371.6</v>
      </c>
      <c r="M77" s="43">
        <v>386.5</v>
      </c>
    </row>
    <row r="78" spans="1:16" ht="20.25" customHeight="1" x14ac:dyDescent="0.2">
      <c r="A78" s="117"/>
      <c r="B78" s="120"/>
      <c r="C78" s="123"/>
      <c r="D78" s="41" t="s">
        <v>10</v>
      </c>
      <c r="E78" s="43">
        <f t="shared" si="24"/>
        <v>0</v>
      </c>
      <c r="F78" s="43">
        <v>0</v>
      </c>
      <c r="G78" s="43">
        <v>0</v>
      </c>
      <c r="H78" s="43">
        <v>0</v>
      </c>
      <c r="I78" s="43">
        <v>0</v>
      </c>
      <c r="J78" s="43">
        <v>0</v>
      </c>
      <c r="K78" s="43">
        <v>0</v>
      </c>
      <c r="L78" s="43">
        <v>0</v>
      </c>
      <c r="M78" s="43">
        <v>0</v>
      </c>
    </row>
    <row r="79" spans="1:16" ht="109.5" customHeight="1" x14ac:dyDescent="0.2">
      <c r="A79" s="115" t="s">
        <v>132</v>
      </c>
      <c r="B79" s="118" t="s">
        <v>42</v>
      </c>
      <c r="C79" s="121" t="s">
        <v>296</v>
      </c>
      <c r="D79" s="41" t="s">
        <v>109</v>
      </c>
      <c r="E79" s="43">
        <f t="shared" si="24"/>
        <v>1427.1</v>
      </c>
      <c r="F79" s="43">
        <f>F80+F81</f>
        <v>150</v>
      </c>
      <c r="G79" s="43">
        <f t="shared" ref="G79:M79" si="26">G80+G81</f>
        <v>157.5</v>
      </c>
      <c r="H79" s="43">
        <f t="shared" si="26"/>
        <v>165.4</v>
      </c>
      <c r="I79" s="43">
        <f t="shared" si="26"/>
        <v>173.7</v>
      </c>
      <c r="J79" s="43">
        <f t="shared" si="26"/>
        <v>182.4</v>
      </c>
      <c r="K79" s="43">
        <f t="shared" si="26"/>
        <v>191.6</v>
      </c>
      <c r="L79" s="43">
        <f t="shared" si="26"/>
        <v>199.3</v>
      </c>
      <c r="M79" s="43">
        <f t="shared" si="26"/>
        <v>207.2</v>
      </c>
    </row>
    <row r="80" spans="1:16" ht="14.25" customHeight="1" x14ac:dyDescent="0.2">
      <c r="A80" s="116"/>
      <c r="B80" s="119"/>
      <c r="C80" s="122"/>
      <c r="D80" s="41" t="s">
        <v>11</v>
      </c>
      <c r="E80" s="43">
        <f t="shared" si="24"/>
        <v>1427.1</v>
      </c>
      <c r="F80" s="43">
        <v>150</v>
      </c>
      <c r="G80" s="43">
        <v>157.5</v>
      </c>
      <c r="H80" s="43">
        <v>165.4</v>
      </c>
      <c r="I80" s="43">
        <v>173.7</v>
      </c>
      <c r="J80" s="43">
        <v>182.4</v>
      </c>
      <c r="K80" s="43">
        <v>191.6</v>
      </c>
      <c r="L80" s="43">
        <v>199.3</v>
      </c>
      <c r="M80" s="43">
        <v>207.2</v>
      </c>
    </row>
    <row r="81" spans="1:19" ht="22.5" customHeight="1" x14ac:dyDescent="0.2">
      <c r="A81" s="117"/>
      <c r="B81" s="120"/>
      <c r="C81" s="123"/>
      <c r="D81" s="41" t="s">
        <v>10</v>
      </c>
      <c r="E81" s="43">
        <f t="shared" si="24"/>
        <v>0</v>
      </c>
      <c r="F81" s="43">
        <v>0</v>
      </c>
      <c r="G81" s="43">
        <v>0</v>
      </c>
      <c r="H81" s="43">
        <v>0</v>
      </c>
      <c r="I81" s="43">
        <v>0</v>
      </c>
      <c r="J81" s="43">
        <v>0</v>
      </c>
      <c r="K81" s="43">
        <v>0</v>
      </c>
      <c r="L81" s="43">
        <v>0</v>
      </c>
      <c r="M81" s="43">
        <v>0</v>
      </c>
    </row>
    <row r="82" spans="1:19" ht="54.75" customHeight="1" x14ac:dyDescent="0.2">
      <c r="A82" s="40" t="s">
        <v>133</v>
      </c>
      <c r="B82" s="45" t="s">
        <v>271</v>
      </c>
      <c r="C82" s="41" t="s">
        <v>296</v>
      </c>
      <c r="D82" s="43">
        <f>SUM(E82:M82)</f>
        <v>0</v>
      </c>
      <c r="E82" s="43">
        <f t="shared" si="24"/>
        <v>0</v>
      </c>
      <c r="F82" s="43">
        <f t="shared" ref="F82:M82" si="27">SUM(G82:N82)</f>
        <v>0</v>
      </c>
      <c r="G82" s="43">
        <f t="shared" si="27"/>
        <v>0</v>
      </c>
      <c r="H82" s="43">
        <f t="shared" si="27"/>
        <v>0</v>
      </c>
      <c r="I82" s="43">
        <f t="shared" si="27"/>
        <v>0</v>
      </c>
      <c r="J82" s="43">
        <f t="shared" si="27"/>
        <v>0</v>
      </c>
      <c r="K82" s="43">
        <f t="shared" si="27"/>
        <v>0</v>
      </c>
      <c r="L82" s="43">
        <f t="shared" si="27"/>
        <v>0</v>
      </c>
      <c r="M82" s="43">
        <f t="shared" si="27"/>
        <v>0</v>
      </c>
    </row>
    <row r="83" spans="1:19" ht="28.5" customHeight="1" x14ac:dyDescent="0.2">
      <c r="A83" s="115" t="s">
        <v>134</v>
      </c>
      <c r="B83" s="118" t="s">
        <v>43</v>
      </c>
      <c r="C83" s="121" t="s">
        <v>296</v>
      </c>
      <c r="D83" s="41" t="s">
        <v>109</v>
      </c>
      <c r="E83" s="43">
        <f t="shared" si="24"/>
        <v>237.99700000000001</v>
      </c>
      <c r="F83" s="43">
        <f>F84+F85</f>
        <v>25</v>
      </c>
      <c r="G83" s="43">
        <f t="shared" ref="G83:M83" si="28">G84+G85</f>
        <v>23.597000000000001</v>
      </c>
      <c r="H83" s="43">
        <f t="shared" si="28"/>
        <v>28</v>
      </c>
      <c r="I83" s="43">
        <f t="shared" si="28"/>
        <v>29.4</v>
      </c>
      <c r="J83" s="43">
        <f t="shared" si="28"/>
        <v>30.9</v>
      </c>
      <c r="K83" s="43">
        <f t="shared" si="28"/>
        <v>32.4</v>
      </c>
      <c r="L83" s="43">
        <f t="shared" si="28"/>
        <v>33.700000000000003</v>
      </c>
      <c r="M83" s="43">
        <f t="shared" si="28"/>
        <v>35</v>
      </c>
    </row>
    <row r="84" spans="1:19" ht="14.25" customHeight="1" x14ac:dyDescent="0.2">
      <c r="A84" s="116"/>
      <c r="B84" s="119"/>
      <c r="C84" s="122"/>
      <c r="D84" s="41" t="s">
        <v>11</v>
      </c>
      <c r="E84" s="43">
        <f t="shared" si="24"/>
        <v>237.99700000000001</v>
      </c>
      <c r="F84" s="43">
        <v>25</v>
      </c>
      <c r="G84" s="43">
        <f>26.6-3.003</f>
        <v>23.597000000000001</v>
      </c>
      <c r="H84" s="43">
        <v>28</v>
      </c>
      <c r="I84" s="43">
        <v>29.4</v>
      </c>
      <c r="J84" s="43">
        <v>30.9</v>
      </c>
      <c r="K84" s="43">
        <v>32.4</v>
      </c>
      <c r="L84" s="43">
        <v>33.700000000000003</v>
      </c>
      <c r="M84" s="43">
        <v>35</v>
      </c>
      <c r="Q84" s="46"/>
      <c r="R84" s="46"/>
      <c r="S84" s="46"/>
    </row>
    <row r="85" spans="1:19" ht="14.25" customHeight="1" x14ac:dyDescent="0.2">
      <c r="A85" s="117"/>
      <c r="B85" s="120"/>
      <c r="C85" s="123"/>
      <c r="D85" s="41" t="s">
        <v>10</v>
      </c>
      <c r="E85" s="43">
        <f t="shared" si="24"/>
        <v>0</v>
      </c>
      <c r="F85" s="43">
        <v>0</v>
      </c>
      <c r="G85" s="43">
        <v>0</v>
      </c>
      <c r="H85" s="43">
        <v>0</v>
      </c>
      <c r="I85" s="43">
        <v>0</v>
      </c>
      <c r="J85" s="43">
        <v>0</v>
      </c>
      <c r="K85" s="43">
        <v>0</v>
      </c>
      <c r="L85" s="43">
        <v>0</v>
      </c>
      <c r="M85" s="43">
        <v>0</v>
      </c>
    </row>
    <row r="86" spans="1:19" ht="28.5" customHeight="1" x14ac:dyDescent="0.2">
      <c r="A86" s="115" t="s">
        <v>135</v>
      </c>
      <c r="B86" s="118" t="s">
        <v>44</v>
      </c>
      <c r="C86" s="121" t="s">
        <v>296</v>
      </c>
      <c r="D86" s="41" t="s">
        <v>109</v>
      </c>
      <c r="E86" s="43">
        <f t="shared" si="24"/>
        <v>1423.4999999999998</v>
      </c>
      <c r="F86" s="43">
        <f>F87+F88</f>
        <v>150</v>
      </c>
      <c r="G86" s="43">
        <f t="shared" ref="G86:M86" si="29">G87+G88</f>
        <v>157.5</v>
      </c>
      <c r="H86" s="43">
        <f t="shared" si="29"/>
        <v>165.4</v>
      </c>
      <c r="I86" s="43">
        <f t="shared" si="29"/>
        <v>173.7</v>
      </c>
      <c r="J86" s="43">
        <f t="shared" si="29"/>
        <v>182.4</v>
      </c>
      <c r="K86" s="43">
        <f t="shared" si="29"/>
        <v>191.5</v>
      </c>
      <c r="L86" s="43">
        <f t="shared" si="29"/>
        <v>195.89999999999998</v>
      </c>
      <c r="M86" s="43">
        <f t="shared" si="29"/>
        <v>207.1</v>
      </c>
    </row>
    <row r="87" spans="1:19" ht="14.25" customHeight="1" x14ac:dyDescent="0.2">
      <c r="A87" s="116"/>
      <c r="B87" s="119"/>
      <c r="C87" s="122"/>
      <c r="D87" s="41" t="s">
        <v>11</v>
      </c>
      <c r="E87" s="43">
        <f t="shared" si="24"/>
        <v>1423.4999999999998</v>
      </c>
      <c r="F87" s="43">
        <v>150</v>
      </c>
      <c r="G87" s="43">
        <v>157.5</v>
      </c>
      <c r="H87" s="43">
        <v>165.4</v>
      </c>
      <c r="I87" s="43">
        <v>173.7</v>
      </c>
      <c r="J87" s="43">
        <v>182.4</v>
      </c>
      <c r="K87" s="43">
        <v>191.5</v>
      </c>
      <c r="L87" s="43">
        <f>199.2-3.3</f>
        <v>195.89999999999998</v>
      </c>
      <c r="M87" s="43">
        <v>207.1</v>
      </c>
    </row>
    <row r="88" spans="1:19" ht="14.25" customHeight="1" x14ac:dyDescent="0.2">
      <c r="A88" s="117"/>
      <c r="B88" s="120"/>
      <c r="C88" s="123"/>
      <c r="D88" s="41" t="s">
        <v>10</v>
      </c>
      <c r="E88" s="43">
        <f t="shared" si="24"/>
        <v>0</v>
      </c>
      <c r="F88" s="43">
        <v>0</v>
      </c>
      <c r="G88" s="43">
        <v>0</v>
      </c>
      <c r="H88" s="43">
        <v>0</v>
      </c>
      <c r="I88" s="43">
        <v>0</v>
      </c>
      <c r="J88" s="43">
        <v>0</v>
      </c>
      <c r="K88" s="43">
        <v>0</v>
      </c>
      <c r="L88" s="43">
        <v>0</v>
      </c>
      <c r="M88" s="43">
        <v>0</v>
      </c>
    </row>
    <row r="89" spans="1:19" ht="64.5" customHeight="1" x14ac:dyDescent="0.2">
      <c r="A89" s="115" t="s">
        <v>136</v>
      </c>
      <c r="B89" s="118" t="s">
        <v>45</v>
      </c>
      <c r="C89" s="121" t="s">
        <v>314</v>
      </c>
      <c r="D89" s="41" t="s">
        <v>109</v>
      </c>
      <c r="E89" s="43">
        <f t="shared" si="24"/>
        <v>95.199999999999989</v>
      </c>
      <c r="F89" s="43">
        <f>F90+F91</f>
        <v>10</v>
      </c>
      <c r="G89" s="43">
        <f t="shared" ref="G89:M89" si="30">G90+G91</f>
        <v>10.5</v>
      </c>
      <c r="H89" s="43">
        <f t="shared" si="30"/>
        <v>11</v>
      </c>
      <c r="I89" s="43">
        <f t="shared" si="30"/>
        <v>11.6</v>
      </c>
      <c r="J89" s="43">
        <f t="shared" si="30"/>
        <v>12.2</v>
      </c>
      <c r="K89" s="43">
        <f t="shared" si="30"/>
        <v>12.8</v>
      </c>
      <c r="L89" s="43">
        <f t="shared" si="30"/>
        <v>13.3</v>
      </c>
      <c r="M89" s="43">
        <f t="shared" si="30"/>
        <v>13.8</v>
      </c>
    </row>
    <row r="90" spans="1:19" ht="14.25" customHeight="1" x14ac:dyDescent="0.2">
      <c r="A90" s="116"/>
      <c r="B90" s="119"/>
      <c r="C90" s="122"/>
      <c r="D90" s="41" t="s">
        <v>11</v>
      </c>
      <c r="E90" s="43">
        <f t="shared" si="24"/>
        <v>95.199999999999989</v>
      </c>
      <c r="F90" s="43">
        <v>10</v>
      </c>
      <c r="G90" s="43">
        <v>10.5</v>
      </c>
      <c r="H90" s="43">
        <v>11</v>
      </c>
      <c r="I90" s="43">
        <v>11.6</v>
      </c>
      <c r="J90" s="43">
        <v>12.2</v>
      </c>
      <c r="K90" s="43">
        <v>12.8</v>
      </c>
      <c r="L90" s="43">
        <v>13.3</v>
      </c>
      <c r="M90" s="43">
        <v>13.8</v>
      </c>
    </row>
    <row r="91" spans="1:19" ht="14.25" customHeight="1" x14ac:dyDescent="0.2">
      <c r="A91" s="117"/>
      <c r="B91" s="120"/>
      <c r="C91" s="123"/>
      <c r="D91" s="41" t="s">
        <v>10</v>
      </c>
      <c r="E91" s="43">
        <f t="shared" si="24"/>
        <v>0</v>
      </c>
      <c r="F91" s="43">
        <v>0</v>
      </c>
      <c r="G91" s="43">
        <v>0</v>
      </c>
      <c r="H91" s="43">
        <v>0</v>
      </c>
      <c r="I91" s="43">
        <v>0</v>
      </c>
      <c r="J91" s="43">
        <v>0</v>
      </c>
      <c r="K91" s="43">
        <v>0</v>
      </c>
      <c r="L91" s="43">
        <v>0</v>
      </c>
      <c r="M91" s="43">
        <v>0</v>
      </c>
    </row>
    <row r="92" spans="1:19" ht="20.25" customHeight="1" x14ac:dyDescent="0.2">
      <c r="A92" s="115" t="s">
        <v>137</v>
      </c>
      <c r="B92" s="118" t="s">
        <v>272</v>
      </c>
      <c r="C92" s="121" t="s">
        <v>296</v>
      </c>
      <c r="D92" s="41" t="s">
        <v>109</v>
      </c>
      <c r="E92" s="43">
        <f t="shared" si="24"/>
        <v>95.199999999999989</v>
      </c>
      <c r="F92" s="43">
        <f>F93+F94</f>
        <v>10</v>
      </c>
      <c r="G92" s="43">
        <f t="shared" ref="G92:M92" si="31">G93+G94</f>
        <v>10.5</v>
      </c>
      <c r="H92" s="43">
        <f t="shared" si="31"/>
        <v>11</v>
      </c>
      <c r="I92" s="43">
        <f t="shared" si="31"/>
        <v>11.6</v>
      </c>
      <c r="J92" s="43">
        <v>12.2</v>
      </c>
      <c r="K92" s="43">
        <v>12.8</v>
      </c>
      <c r="L92" s="43">
        <f t="shared" si="31"/>
        <v>13.3</v>
      </c>
      <c r="M92" s="43">
        <f t="shared" si="31"/>
        <v>13.8</v>
      </c>
    </row>
    <row r="93" spans="1:19" ht="42.75" customHeight="1" x14ac:dyDescent="0.2">
      <c r="A93" s="116"/>
      <c r="B93" s="119"/>
      <c r="C93" s="122"/>
      <c r="D93" s="41" t="s">
        <v>11</v>
      </c>
      <c r="E93" s="43">
        <f t="shared" si="24"/>
        <v>95.199999999999989</v>
      </c>
      <c r="F93" s="43">
        <v>10</v>
      </c>
      <c r="G93" s="43">
        <v>10.5</v>
      </c>
      <c r="H93" s="43">
        <v>11</v>
      </c>
      <c r="I93" s="43">
        <v>11.6</v>
      </c>
      <c r="J93" s="43">
        <v>12.2</v>
      </c>
      <c r="K93" s="43">
        <v>12.8</v>
      </c>
      <c r="L93" s="43">
        <v>13.3</v>
      </c>
      <c r="M93" s="43">
        <v>13.8</v>
      </c>
    </row>
    <row r="94" spans="1:19" ht="32.25" customHeight="1" x14ac:dyDescent="0.2">
      <c r="A94" s="117"/>
      <c r="B94" s="120"/>
      <c r="C94" s="123"/>
      <c r="D94" s="41" t="s">
        <v>10</v>
      </c>
      <c r="E94" s="43">
        <f t="shared" si="24"/>
        <v>0</v>
      </c>
      <c r="F94" s="43">
        <v>0</v>
      </c>
      <c r="G94" s="43">
        <v>0</v>
      </c>
      <c r="H94" s="43">
        <v>0</v>
      </c>
      <c r="I94" s="43">
        <v>0</v>
      </c>
      <c r="J94" s="43">
        <v>0</v>
      </c>
      <c r="K94" s="43">
        <v>0</v>
      </c>
      <c r="L94" s="43">
        <v>0</v>
      </c>
      <c r="M94" s="43">
        <v>0</v>
      </c>
    </row>
    <row r="95" spans="1:19" ht="36" customHeight="1" x14ac:dyDescent="0.2">
      <c r="A95" s="115" t="s">
        <v>138</v>
      </c>
      <c r="B95" s="118" t="s">
        <v>46</v>
      </c>
      <c r="C95" s="121" t="s">
        <v>251</v>
      </c>
      <c r="D95" s="41" t="s">
        <v>109</v>
      </c>
      <c r="E95" s="43">
        <f t="shared" si="24"/>
        <v>669</v>
      </c>
      <c r="F95" s="43">
        <f>F96+F97</f>
        <v>669</v>
      </c>
      <c r="G95" s="43">
        <f t="shared" ref="G95:M95" si="32">G96+G97</f>
        <v>0</v>
      </c>
      <c r="H95" s="43">
        <f t="shared" si="32"/>
        <v>0</v>
      </c>
      <c r="I95" s="43">
        <f t="shared" si="32"/>
        <v>0</v>
      </c>
      <c r="J95" s="43">
        <f t="shared" si="32"/>
        <v>0</v>
      </c>
      <c r="K95" s="43">
        <f t="shared" si="32"/>
        <v>0</v>
      </c>
      <c r="L95" s="43">
        <f t="shared" si="32"/>
        <v>0</v>
      </c>
      <c r="M95" s="43">
        <f t="shared" si="32"/>
        <v>0</v>
      </c>
    </row>
    <row r="96" spans="1:19" ht="14.25" customHeight="1" x14ac:dyDescent="0.2">
      <c r="A96" s="116"/>
      <c r="B96" s="119"/>
      <c r="C96" s="122"/>
      <c r="D96" s="41" t="s">
        <v>11</v>
      </c>
      <c r="E96" s="43">
        <f t="shared" si="24"/>
        <v>669</v>
      </c>
      <c r="F96" s="43">
        <v>669</v>
      </c>
      <c r="G96" s="43">
        <v>0</v>
      </c>
      <c r="H96" s="43">
        <v>0</v>
      </c>
      <c r="I96" s="43">
        <v>0</v>
      </c>
      <c r="J96" s="43">
        <v>0</v>
      </c>
      <c r="K96" s="43">
        <v>0</v>
      </c>
      <c r="L96" s="43">
        <v>0</v>
      </c>
      <c r="M96" s="43">
        <f t="shared" ref="M96" si="33">L96+(L96/100*4)</f>
        <v>0</v>
      </c>
    </row>
    <row r="97" spans="1:13" ht="14.25" customHeight="1" x14ac:dyDescent="0.2">
      <c r="A97" s="117"/>
      <c r="B97" s="120"/>
      <c r="C97" s="123"/>
      <c r="D97" s="41" t="s">
        <v>10</v>
      </c>
      <c r="E97" s="43">
        <f t="shared" si="24"/>
        <v>0</v>
      </c>
      <c r="F97" s="43">
        <v>0</v>
      </c>
      <c r="G97" s="43">
        <v>0</v>
      </c>
      <c r="H97" s="43">
        <v>0</v>
      </c>
      <c r="I97" s="43">
        <v>0</v>
      </c>
      <c r="J97" s="43">
        <v>0</v>
      </c>
      <c r="K97" s="43">
        <v>0</v>
      </c>
      <c r="L97" s="43">
        <v>0</v>
      </c>
      <c r="M97" s="43">
        <v>0</v>
      </c>
    </row>
    <row r="98" spans="1:13" ht="32.25" customHeight="1" x14ac:dyDescent="0.2">
      <c r="A98" s="115" t="s">
        <v>139</v>
      </c>
      <c r="B98" s="118" t="s">
        <v>252</v>
      </c>
      <c r="C98" s="121" t="s">
        <v>251</v>
      </c>
      <c r="D98" s="41" t="s">
        <v>109</v>
      </c>
      <c r="E98" s="43">
        <f t="shared" si="24"/>
        <v>1026</v>
      </c>
      <c r="F98" s="43">
        <f>F100+F99</f>
        <v>1026</v>
      </c>
      <c r="G98" s="43">
        <f t="shared" ref="G98:M98" si="34">G100+G99</f>
        <v>0</v>
      </c>
      <c r="H98" s="43">
        <f t="shared" si="34"/>
        <v>0</v>
      </c>
      <c r="I98" s="43">
        <f t="shared" si="34"/>
        <v>0</v>
      </c>
      <c r="J98" s="43">
        <f t="shared" si="34"/>
        <v>0</v>
      </c>
      <c r="K98" s="43">
        <f t="shared" si="34"/>
        <v>0</v>
      </c>
      <c r="L98" s="43">
        <f t="shared" si="34"/>
        <v>0</v>
      </c>
      <c r="M98" s="43">
        <f t="shared" si="34"/>
        <v>0</v>
      </c>
    </row>
    <row r="99" spans="1:13" ht="14.25" customHeight="1" x14ac:dyDescent="0.2">
      <c r="A99" s="116"/>
      <c r="B99" s="119"/>
      <c r="C99" s="122"/>
      <c r="D99" s="41" t="s">
        <v>11</v>
      </c>
      <c r="E99" s="43">
        <f t="shared" si="24"/>
        <v>1026</v>
      </c>
      <c r="F99" s="43">
        <v>1026</v>
      </c>
      <c r="G99" s="43">
        <v>0</v>
      </c>
      <c r="H99" s="43">
        <v>0</v>
      </c>
      <c r="I99" s="43">
        <v>0</v>
      </c>
      <c r="J99" s="43">
        <v>0</v>
      </c>
      <c r="K99" s="43">
        <v>0</v>
      </c>
      <c r="L99" s="43">
        <v>0</v>
      </c>
      <c r="M99" s="43">
        <v>0</v>
      </c>
    </row>
    <row r="100" spans="1:13" ht="14.25" customHeight="1" x14ac:dyDescent="0.2">
      <c r="A100" s="117"/>
      <c r="B100" s="120"/>
      <c r="C100" s="123"/>
      <c r="D100" s="41" t="s">
        <v>10</v>
      </c>
      <c r="E100" s="43">
        <f t="shared" si="24"/>
        <v>0</v>
      </c>
      <c r="F100" s="43">
        <v>0</v>
      </c>
      <c r="G100" s="43">
        <v>0</v>
      </c>
      <c r="H100" s="43">
        <v>0</v>
      </c>
      <c r="I100" s="43">
        <v>0</v>
      </c>
      <c r="J100" s="43">
        <v>0</v>
      </c>
      <c r="K100" s="43">
        <v>0</v>
      </c>
      <c r="L100" s="43">
        <v>0</v>
      </c>
      <c r="M100" s="43">
        <v>0</v>
      </c>
    </row>
    <row r="101" spans="1:13" ht="28.5" customHeight="1" x14ac:dyDescent="0.2">
      <c r="A101" s="115" t="s">
        <v>140</v>
      </c>
      <c r="B101" s="118" t="s">
        <v>306</v>
      </c>
      <c r="C101" s="121" t="s">
        <v>298</v>
      </c>
      <c r="D101" s="41" t="s">
        <v>109</v>
      </c>
      <c r="E101" s="43">
        <f t="shared" si="24"/>
        <v>1311</v>
      </c>
      <c r="F101" s="43">
        <f>F102+F103</f>
        <v>0</v>
      </c>
      <c r="G101" s="43">
        <f t="shared" ref="G101:M101" si="35">G102+G103</f>
        <v>0</v>
      </c>
      <c r="H101" s="43">
        <f t="shared" si="35"/>
        <v>0</v>
      </c>
      <c r="I101" s="43">
        <f t="shared" si="35"/>
        <v>0</v>
      </c>
      <c r="J101" s="43">
        <f t="shared" si="35"/>
        <v>0</v>
      </c>
      <c r="K101" s="43">
        <f t="shared" si="35"/>
        <v>1311</v>
      </c>
      <c r="L101" s="43">
        <f t="shared" si="35"/>
        <v>0</v>
      </c>
      <c r="M101" s="43">
        <f t="shared" si="35"/>
        <v>0</v>
      </c>
    </row>
    <row r="102" spans="1:13" ht="14.25" customHeight="1" x14ac:dyDescent="0.2">
      <c r="A102" s="116"/>
      <c r="B102" s="119"/>
      <c r="C102" s="122"/>
      <c r="D102" s="41" t="s">
        <v>11</v>
      </c>
      <c r="E102" s="43">
        <f t="shared" si="24"/>
        <v>1311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  <c r="K102" s="43">
        <v>1311</v>
      </c>
      <c r="L102" s="43">
        <v>0</v>
      </c>
      <c r="M102" s="43">
        <v>0</v>
      </c>
    </row>
    <row r="103" spans="1:13" ht="14.25" customHeight="1" x14ac:dyDescent="0.2">
      <c r="A103" s="117"/>
      <c r="B103" s="120"/>
      <c r="C103" s="123"/>
      <c r="D103" s="41" t="s">
        <v>10</v>
      </c>
      <c r="E103" s="43">
        <f t="shared" si="24"/>
        <v>0</v>
      </c>
      <c r="F103" s="43">
        <v>0</v>
      </c>
      <c r="G103" s="43">
        <v>0</v>
      </c>
      <c r="H103" s="43">
        <v>0</v>
      </c>
      <c r="I103" s="43">
        <v>0</v>
      </c>
      <c r="J103" s="43">
        <v>0</v>
      </c>
      <c r="K103" s="43">
        <v>0</v>
      </c>
      <c r="L103" s="43">
        <v>0</v>
      </c>
      <c r="M103" s="43">
        <v>0</v>
      </c>
    </row>
    <row r="104" spans="1:13" ht="28.5" customHeight="1" x14ac:dyDescent="0.2">
      <c r="A104" s="115" t="s">
        <v>141</v>
      </c>
      <c r="B104" s="118" t="s">
        <v>313</v>
      </c>
      <c r="C104" s="121" t="s">
        <v>296</v>
      </c>
      <c r="D104" s="41" t="s">
        <v>109</v>
      </c>
      <c r="E104" s="43">
        <f t="shared" si="24"/>
        <v>303.00299999999999</v>
      </c>
      <c r="F104" s="43">
        <f>F105+F106</f>
        <v>0</v>
      </c>
      <c r="G104" s="43">
        <f t="shared" ref="G104:M104" si="36">G105+G106</f>
        <v>303.00299999999999</v>
      </c>
      <c r="H104" s="43">
        <f t="shared" si="36"/>
        <v>0</v>
      </c>
      <c r="I104" s="43">
        <f t="shared" si="36"/>
        <v>0</v>
      </c>
      <c r="J104" s="43">
        <f t="shared" si="36"/>
        <v>0</v>
      </c>
      <c r="K104" s="43">
        <f t="shared" si="36"/>
        <v>0</v>
      </c>
      <c r="L104" s="43">
        <f t="shared" si="36"/>
        <v>0</v>
      </c>
      <c r="M104" s="43">
        <f t="shared" si="36"/>
        <v>0</v>
      </c>
    </row>
    <row r="105" spans="1:13" ht="14.25" customHeight="1" x14ac:dyDescent="0.2">
      <c r="A105" s="116"/>
      <c r="B105" s="119"/>
      <c r="C105" s="122"/>
      <c r="D105" s="41" t="s">
        <v>11</v>
      </c>
      <c r="E105" s="43">
        <f t="shared" si="24"/>
        <v>3.0030000000000001</v>
      </c>
      <c r="F105" s="43">
        <v>0</v>
      </c>
      <c r="G105" s="43">
        <v>3.0030000000000001</v>
      </c>
      <c r="H105" s="43">
        <v>0</v>
      </c>
      <c r="I105" s="43">
        <v>0</v>
      </c>
      <c r="J105" s="43">
        <v>0</v>
      </c>
      <c r="K105" s="43">
        <v>0</v>
      </c>
      <c r="L105" s="43">
        <v>0</v>
      </c>
      <c r="M105" s="43">
        <v>0</v>
      </c>
    </row>
    <row r="106" spans="1:13" ht="14.25" customHeight="1" x14ac:dyDescent="0.2">
      <c r="A106" s="117"/>
      <c r="B106" s="120"/>
      <c r="C106" s="123"/>
      <c r="D106" s="41" t="s">
        <v>10</v>
      </c>
      <c r="E106" s="43">
        <f t="shared" si="24"/>
        <v>300</v>
      </c>
      <c r="F106" s="43">
        <v>0</v>
      </c>
      <c r="G106" s="43">
        <v>300</v>
      </c>
      <c r="H106" s="43">
        <v>0</v>
      </c>
      <c r="I106" s="43">
        <v>0</v>
      </c>
      <c r="J106" s="43">
        <v>0</v>
      </c>
      <c r="K106" s="43">
        <v>0</v>
      </c>
      <c r="L106" s="43">
        <v>0</v>
      </c>
      <c r="M106" s="43">
        <v>0</v>
      </c>
    </row>
    <row r="107" spans="1:13" ht="28.5" customHeight="1" x14ac:dyDescent="0.2">
      <c r="A107" s="115" t="s">
        <v>142</v>
      </c>
      <c r="B107" s="118" t="s">
        <v>47</v>
      </c>
      <c r="C107" s="121" t="s">
        <v>296</v>
      </c>
      <c r="D107" s="41" t="s">
        <v>109</v>
      </c>
      <c r="E107" s="43">
        <f t="shared" si="24"/>
        <v>354.8</v>
      </c>
      <c r="F107" s="43">
        <f>F108+F109</f>
        <v>0</v>
      </c>
      <c r="G107" s="43">
        <f t="shared" ref="G107:K107" si="37">G108+G109</f>
        <v>24.3</v>
      </c>
      <c r="H107" s="43">
        <f t="shared" si="37"/>
        <v>0</v>
      </c>
      <c r="I107" s="43">
        <f t="shared" si="37"/>
        <v>0</v>
      </c>
      <c r="J107" s="43">
        <f t="shared" si="37"/>
        <v>0</v>
      </c>
      <c r="K107" s="43">
        <f t="shared" si="37"/>
        <v>0</v>
      </c>
      <c r="L107" s="43">
        <f>L108+L109+L110</f>
        <v>330.5</v>
      </c>
      <c r="M107" s="43">
        <f t="shared" ref="M107" si="38">M108+M109+M110</f>
        <v>0</v>
      </c>
    </row>
    <row r="108" spans="1:13" ht="14.25" customHeight="1" x14ac:dyDescent="0.2">
      <c r="A108" s="116"/>
      <c r="B108" s="119"/>
      <c r="C108" s="122"/>
      <c r="D108" s="41" t="s">
        <v>12</v>
      </c>
      <c r="E108" s="43">
        <f t="shared" si="24"/>
        <v>165</v>
      </c>
      <c r="F108" s="43">
        <v>0</v>
      </c>
      <c r="G108" s="43">
        <v>24.3</v>
      </c>
      <c r="H108" s="43">
        <v>0</v>
      </c>
      <c r="I108" s="43">
        <v>0</v>
      </c>
      <c r="J108" s="43">
        <v>0</v>
      </c>
      <c r="K108" s="43">
        <v>0</v>
      </c>
      <c r="L108" s="43">
        <v>140.69999999999999</v>
      </c>
      <c r="M108" s="43">
        <v>0</v>
      </c>
    </row>
    <row r="109" spans="1:13" ht="14.25" customHeight="1" x14ac:dyDescent="0.2">
      <c r="A109" s="116"/>
      <c r="B109" s="119"/>
      <c r="C109" s="122"/>
      <c r="D109" s="41" t="s">
        <v>11</v>
      </c>
      <c r="E109" s="43">
        <f t="shared" si="24"/>
        <v>3.3</v>
      </c>
      <c r="F109" s="43">
        <v>0</v>
      </c>
      <c r="G109" s="43">
        <v>0</v>
      </c>
      <c r="H109" s="43">
        <v>0</v>
      </c>
      <c r="I109" s="43">
        <v>0</v>
      </c>
      <c r="J109" s="43">
        <v>0</v>
      </c>
      <c r="K109" s="43">
        <v>0</v>
      </c>
      <c r="L109" s="43">
        <v>3.3</v>
      </c>
      <c r="M109" s="43">
        <v>0</v>
      </c>
    </row>
    <row r="110" spans="1:13" ht="14.25" customHeight="1" x14ac:dyDescent="0.2">
      <c r="A110" s="117"/>
      <c r="B110" s="120"/>
      <c r="C110" s="123"/>
      <c r="D110" s="41" t="s">
        <v>10</v>
      </c>
      <c r="E110" s="43">
        <f t="shared" si="24"/>
        <v>186.5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  <c r="K110" s="43">
        <v>0</v>
      </c>
      <c r="L110" s="43">
        <f>155.5+186.5-155.5</f>
        <v>186.5</v>
      </c>
      <c r="M110" s="43">
        <v>0</v>
      </c>
    </row>
    <row r="111" spans="1:13" ht="14.25" customHeight="1" x14ac:dyDescent="0.2">
      <c r="A111" s="115" t="s">
        <v>143</v>
      </c>
      <c r="B111" s="118" t="s">
        <v>410</v>
      </c>
      <c r="C111" s="121" t="s">
        <v>296</v>
      </c>
      <c r="D111" s="41" t="s">
        <v>109</v>
      </c>
      <c r="E111" s="43">
        <f t="shared" si="24"/>
        <v>18.3</v>
      </c>
      <c r="F111" s="43">
        <f>F112+F113+F114</f>
        <v>0</v>
      </c>
      <c r="G111" s="43">
        <f t="shared" ref="G111:M111" si="39">G112+G113+G114</f>
        <v>18.3</v>
      </c>
      <c r="H111" s="43">
        <f t="shared" si="39"/>
        <v>0</v>
      </c>
      <c r="I111" s="43">
        <f t="shared" si="39"/>
        <v>0</v>
      </c>
      <c r="J111" s="43">
        <f t="shared" si="39"/>
        <v>0</v>
      </c>
      <c r="K111" s="43">
        <f t="shared" si="39"/>
        <v>0</v>
      </c>
      <c r="L111" s="43">
        <f t="shared" si="39"/>
        <v>0</v>
      </c>
      <c r="M111" s="43">
        <f t="shared" si="39"/>
        <v>0</v>
      </c>
    </row>
    <row r="112" spans="1:13" ht="14.25" customHeight="1" x14ac:dyDescent="0.2">
      <c r="A112" s="116"/>
      <c r="B112" s="119"/>
      <c r="C112" s="122"/>
      <c r="D112" s="41" t="s">
        <v>12</v>
      </c>
      <c r="E112" s="43">
        <f t="shared" si="24"/>
        <v>18.3</v>
      </c>
      <c r="F112" s="43">
        <v>0</v>
      </c>
      <c r="G112" s="43">
        <f>20.8-2.5</f>
        <v>18.3</v>
      </c>
      <c r="H112" s="43">
        <v>0</v>
      </c>
      <c r="I112" s="43">
        <v>0</v>
      </c>
      <c r="J112" s="43">
        <v>0</v>
      </c>
      <c r="K112" s="43">
        <v>0</v>
      </c>
      <c r="L112" s="43">
        <v>0</v>
      </c>
      <c r="M112" s="43">
        <v>0</v>
      </c>
    </row>
    <row r="113" spans="1:15" ht="14.25" customHeight="1" x14ac:dyDescent="0.2">
      <c r="A113" s="116"/>
      <c r="B113" s="119"/>
      <c r="C113" s="122"/>
      <c r="D113" s="41" t="s">
        <v>11</v>
      </c>
      <c r="E113" s="43">
        <f t="shared" si="24"/>
        <v>0</v>
      </c>
      <c r="F113" s="43">
        <v>0</v>
      </c>
      <c r="G113" s="43">
        <v>0</v>
      </c>
      <c r="H113" s="43">
        <v>0</v>
      </c>
      <c r="I113" s="43">
        <v>0</v>
      </c>
      <c r="J113" s="43">
        <v>0</v>
      </c>
      <c r="K113" s="43">
        <v>0</v>
      </c>
      <c r="L113" s="43">
        <v>0</v>
      </c>
      <c r="M113" s="43">
        <v>0</v>
      </c>
    </row>
    <row r="114" spans="1:15" ht="14.25" customHeight="1" x14ac:dyDescent="0.2">
      <c r="A114" s="117"/>
      <c r="B114" s="120"/>
      <c r="C114" s="123"/>
      <c r="D114" s="41" t="s">
        <v>10</v>
      </c>
      <c r="E114" s="43">
        <f t="shared" si="24"/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  <c r="K114" s="43">
        <v>0</v>
      </c>
      <c r="L114" s="43">
        <v>0</v>
      </c>
      <c r="M114" s="43">
        <v>0</v>
      </c>
    </row>
    <row r="115" spans="1:15" ht="14.25" customHeight="1" x14ac:dyDescent="0.2">
      <c r="A115" s="115" t="s">
        <v>144</v>
      </c>
      <c r="B115" s="118" t="s">
        <v>48</v>
      </c>
      <c r="C115" s="121" t="s">
        <v>296</v>
      </c>
      <c r="D115" s="41" t="s">
        <v>109</v>
      </c>
      <c r="E115" s="43">
        <f t="shared" si="24"/>
        <v>340734.5</v>
      </c>
      <c r="F115" s="43">
        <f>F116+F117</f>
        <v>31451.3</v>
      </c>
      <c r="G115" s="43">
        <f t="shared" ref="G115:M115" si="40">G116+G117</f>
        <v>33032.199999999997</v>
      </c>
      <c r="H115" s="43">
        <f t="shared" si="40"/>
        <v>37326.199999999997</v>
      </c>
      <c r="I115" s="43">
        <f t="shared" si="40"/>
        <v>40067.5</v>
      </c>
      <c r="J115" s="43">
        <f>J116+J117</f>
        <v>47581.4</v>
      </c>
      <c r="K115" s="43">
        <f t="shared" si="40"/>
        <v>49148</v>
      </c>
      <c r="L115" s="43">
        <f t="shared" si="40"/>
        <v>49655.4</v>
      </c>
      <c r="M115" s="43">
        <f t="shared" si="40"/>
        <v>52472.5</v>
      </c>
    </row>
    <row r="116" spans="1:15" ht="14.25" customHeight="1" x14ac:dyDescent="0.2">
      <c r="A116" s="116"/>
      <c r="B116" s="119"/>
      <c r="C116" s="122"/>
      <c r="D116" s="41" t="s">
        <v>11</v>
      </c>
      <c r="E116" s="43">
        <f t="shared" si="24"/>
        <v>340734.5</v>
      </c>
      <c r="F116" s="43">
        <v>31451.3</v>
      </c>
      <c r="G116" s="43">
        <v>33032.199999999997</v>
      </c>
      <c r="H116" s="43">
        <v>37326.199999999997</v>
      </c>
      <c r="I116" s="43">
        <f>40042.7+24.8</f>
        <v>40067.5</v>
      </c>
      <c r="J116" s="43">
        <f>47581.4</f>
        <v>47581.4</v>
      </c>
      <c r="K116" s="43">
        <f>48846.2+301.8</f>
        <v>49148</v>
      </c>
      <c r="L116" s="43">
        <v>49655.4</v>
      </c>
      <c r="M116" s="43">
        <f>52222.5+250</f>
        <v>52472.5</v>
      </c>
    </row>
    <row r="117" spans="1:15" ht="14.25" customHeight="1" x14ac:dyDescent="0.2">
      <c r="A117" s="117"/>
      <c r="B117" s="120"/>
      <c r="C117" s="123"/>
      <c r="D117" s="41" t="s">
        <v>10</v>
      </c>
      <c r="E117" s="43">
        <f t="shared" si="24"/>
        <v>0</v>
      </c>
      <c r="F117" s="43">
        <v>0</v>
      </c>
      <c r="G117" s="43">
        <v>0</v>
      </c>
      <c r="H117" s="43">
        <v>0</v>
      </c>
      <c r="I117" s="43">
        <v>0</v>
      </c>
      <c r="J117" s="43">
        <v>0</v>
      </c>
      <c r="K117" s="43">
        <v>0</v>
      </c>
      <c r="L117" s="43">
        <v>0</v>
      </c>
      <c r="M117" s="43">
        <v>0</v>
      </c>
    </row>
    <row r="118" spans="1:15" ht="14.25" customHeight="1" x14ac:dyDescent="0.2">
      <c r="A118" s="133" t="s">
        <v>184</v>
      </c>
      <c r="B118" s="134"/>
      <c r="C118" s="135"/>
      <c r="D118" s="41" t="s">
        <v>109</v>
      </c>
      <c r="E118" s="43">
        <f t="shared" si="24"/>
        <v>350358.10000000003</v>
      </c>
      <c r="F118" s="43">
        <f t="shared" ref="F118:I118" si="41">SUM(F119:F120)</f>
        <v>33771.300000000003</v>
      </c>
      <c r="G118" s="43">
        <v>34031.4</v>
      </c>
      <c r="H118" s="43">
        <f t="shared" si="41"/>
        <v>38015.699999999997</v>
      </c>
      <c r="I118" s="43">
        <f t="shared" si="41"/>
        <v>40791.599999999991</v>
      </c>
      <c r="J118" s="43">
        <f>J119+J120+J121</f>
        <v>48341.8</v>
      </c>
      <c r="K118" s="43">
        <f t="shared" ref="K118:M118" si="42">K119+K120+K121</f>
        <v>51257.400000000009</v>
      </c>
      <c r="L118" s="43">
        <f t="shared" si="42"/>
        <v>50813.000000000007</v>
      </c>
      <c r="M118" s="43">
        <f t="shared" si="42"/>
        <v>53335.9</v>
      </c>
      <c r="O118" s="46"/>
    </row>
    <row r="119" spans="1:15" ht="14.25" customHeight="1" x14ac:dyDescent="0.2">
      <c r="A119" s="136"/>
      <c r="B119" s="137"/>
      <c r="C119" s="138"/>
      <c r="D119" s="41" t="s">
        <v>12</v>
      </c>
      <c r="E119" s="43">
        <f t="shared" si="24"/>
        <v>183.29999999999998</v>
      </c>
      <c r="F119" s="43">
        <f>F112+F108</f>
        <v>0</v>
      </c>
      <c r="G119" s="43">
        <f t="shared" ref="G119:M119" si="43">G112+G108</f>
        <v>42.6</v>
      </c>
      <c r="H119" s="43">
        <f t="shared" si="43"/>
        <v>0</v>
      </c>
      <c r="I119" s="43">
        <f t="shared" si="43"/>
        <v>0</v>
      </c>
      <c r="J119" s="43">
        <f>J112+J108</f>
        <v>0</v>
      </c>
      <c r="K119" s="43">
        <f t="shared" si="43"/>
        <v>0</v>
      </c>
      <c r="L119" s="43">
        <f t="shared" si="43"/>
        <v>140.69999999999999</v>
      </c>
      <c r="M119" s="43">
        <f t="shared" si="43"/>
        <v>0</v>
      </c>
    </row>
    <row r="120" spans="1:15" ht="14.25" customHeight="1" x14ac:dyDescent="0.2">
      <c r="A120" s="136"/>
      <c r="B120" s="137"/>
      <c r="C120" s="138"/>
      <c r="D120" s="41" t="s">
        <v>11</v>
      </c>
      <c r="E120" s="43">
        <f t="shared" si="24"/>
        <v>349688.30000000005</v>
      </c>
      <c r="F120" s="43">
        <f>F116+F113+F109+F105+F102+F99+F96+F93+F90+F87+F84+F80+F77</f>
        <v>33771.300000000003</v>
      </c>
      <c r="G120" s="43">
        <f t="shared" ref="G120:M120" si="44">G116+G113+G109+G105+G102+G99+G96+G93+G90+G87+G84+G80+G77</f>
        <v>33688.799999999996</v>
      </c>
      <c r="H120" s="43">
        <f t="shared" si="44"/>
        <v>38015.699999999997</v>
      </c>
      <c r="I120" s="43">
        <f t="shared" si="44"/>
        <v>40791.599999999991</v>
      </c>
      <c r="J120" s="43">
        <f t="shared" si="44"/>
        <v>48341.8</v>
      </c>
      <c r="K120" s="43">
        <f t="shared" si="44"/>
        <v>51257.400000000009</v>
      </c>
      <c r="L120" s="43">
        <f t="shared" si="44"/>
        <v>50485.80000000001</v>
      </c>
      <c r="M120" s="43">
        <f t="shared" si="44"/>
        <v>53335.9</v>
      </c>
      <c r="O120" s="46"/>
    </row>
    <row r="121" spans="1:15" ht="14.25" customHeight="1" x14ac:dyDescent="0.2">
      <c r="A121" s="139"/>
      <c r="B121" s="140"/>
      <c r="C121" s="141"/>
      <c r="D121" s="41" t="s">
        <v>10</v>
      </c>
      <c r="E121" s="43">
        <f t="shared" si="24"/>
        <v>486.5</v>
      </c>
      <c r="F121" s="43">
        <f>F117+F114+F110+F106+F103+F100+F97+F94+F91+F88+F85+F81+F78</f>
        <v>0</v>
      </c>
      <c r="G121" s="43">
        <f t="shared" ref="G121:M121" si="45">G117+G114+G110+G106+G103+G100+G97+G94+G91+G88+G85+G81+G78</f>
        <v>300</v>
      </c>
      <c r="H121" s="43">
        <f t="shared" si="45"/>
        <v>0</v>
      </c>
      <c r="I121" s="43">
        <f t="shared" si="45"/>
        <v>0</v>
      </c>
      <c r="J121" s="43">
        <f t="shared" si="45"/>
        <v>0</v>
      </c>
      <c r="K121" s="43">
        <f t="shared" si="45"/>
        <v>0</v>
      </c>
      <c r="L121" s="43">
        <f t="shared" si="45"/>
        <v>186.5</v>
      </c>
      <c r="M121" s="43">
        <f t="shared" si="45"/>
        <v>0</v>
      </c>
    </row>
    <row r="122" spans="1:15" ht="20.25" customHeight="1" x14ac:dyDescent="0.2">
      <c r="A122" s="143" t="s">
        <v>53</v>
      </c>
      <c r="B122" s="143"/>
      <c r="C122" s="143"/>
      <c r="D122" s="143"/>
      <c r="E122" s="143"/>
      <c r="F122" s="143"/>
      <c r="G122" s="143"/>
      <c r="H122" s="143"/>
      <c r="I122" s="143"/>
      <c r="J122" s="143"/>
      <c r="K122" s="143"/>
      <c r="L122" s="143"/>
      <c r="M122" s="143"/>
    </row>
    <row r="123" spans="1:15" ht="25.5" customHeight="1" x14ac:dyDescent="0.2">
      <c r="A123" s="115" t="s">
        <v>145</v>
      </c>
      <c r="B123" s="118" t="s">
        <v>268</v>
      </c>
      <c r="C123" s="121" t="s">
        <v>292</v>
      </c>
      <c r="D123" s="41" t="s">
        <v>109</v>
      </c>
      <c r="E123" s="43">
        <f t="shared" ref="E123:E137" si="46">SUM(F123:M123)</f>
        <v>344.9</v>
      </c>
      <c r="F123" s="48">
        <f>F124+F125</f>
        <v>0</v>
      </c>
      <c r="G123" s="48">
        <f t="shared" ref="G123:M123" si="47">G124+G125</f>
        <v>50</v>
      </c>
      <c r="H123" s="48">
        <f t="shared" si="47"/>
        <v>0</v>
      </c>
      <c r="I123" s="48">
        <f t="shared" si="47"/>
        <v>55.1</v>
      </c>
      <c r="J123" s="48">
        <f t="shared" si="47"/>
        <v>0</v>
      </c>
      <c r="K123" s="48">
        <f t="shared" si="47"/>
        <v>111.5</v>
      </c>
      <c r="L123" s="48">
        <f t="shared" si="47"/>
        <v>62.9</v>
      </c>
      <c r="M123" s="48">
        <f t="shared" si="47"/>
        <v>65.400000000000006</v>
      </c>
    </row>
    <row r="124" spans="1:15" ht="14.25" customHeight="1" x14ac:dyDescent="0.2">
      <c r="A124" s="116"/>
      <c r="B124" s="119"/>
      <c r="C124" s="122"/>
      <c r="D124" s="41" t="s">
        <v>11</v>
      </c>
      <c r="E124" s="43">
        <f t="shared" si="46"/>
        <v>344.9</v>
      </c>
      <c r="F124" s="43">
        <v>0</v>
      </c>
      <c r="G124" s="43">
        <v>50</v>
      </c>
      <c r="H124" s="43">
        <v>0</v>
      </c>
      <c r="I124" s="43">
        <v>55.1</v>
      </c>
      <c r="J124" s="43">
        <v>0</v>
      </c>
      <c r="K124" s="43">
        <f>60.5+51</f>
        <v>111.5</v>
      </c>
      <c r="L124" s="43">
        <v>62.9</v>
      </c>
      <c r="M124" s="43">
        <v>65.400000000000006</v>
      </c>
    </row>
    <row r="125" spans="1:15" ht="14.25" customHeight="1" x14ac:dyDescent="0.2">
      <c r="A125" s="117"/>
      <c r="B125" s="120"/>
      <c r="C125" s="123"/>
      <c r="D125" s="41" t="s">
        <v>10</v>
      </c>
      <c r="E125" s="43">
        <f t="shared" si="46"/>
        <v>0</v>
      </c>
      <c r="F125" s="43">
        <v>0</v>
      </c>
      <c r="G125" s="43">
        <v>0</v>
      </c>
      <c r="H125" s="43">
        <v>0</v>
      </c>
      <c r="I125" s="43">
        <v>0</v>
      </c>
      <c r="J125" s="43">
        <v>0</v>
      </c>
      <c r="K125" s="43">
        <v>0</v>
      </c>
      <c r="L125" s="43">
        <v>0</v>
      </c>
      <c r="M125" s="43">
        <v>0</v>
      </c>
    </row>
    <row r="126" spans="1:15" ht="25.5" customHeight="1" x14ac:dyDescent="0.2">
      <c r="A126" s="115" t="s">
        <v>146</v>
      </c>
      <c r="B126" s="118" t="s">
        <v>267</v>
      </c>
      <c r="C126" s="121" t="s">
        <v>292</v>
      </c>
      <c r="D126" s="41" t="s">
        <v>109</v>
      </c>
      <c r="E126" s="43">
        <f t="shared" si="46"/>
        <v>329.4</v>
      </c>
      <c r="F126" s="43">
        <f>F127+F128</f>
        <v>40</v>
      </c>
      <c r="G126" s="43">
        <f t="shared" ref="G126:M126" si="48">G127+G128</f>
        <v>42</v>
      </c>
      <c r="H126" s="43">
        <f t="shared" si="48"/>
        <v>44.1</v>
      </c>
      <c r="I126" s="43">
        <f t="shared" si="48"/>
        <v>46.3</v>
      </c>
      <c r="J126" s="43">
        <f t="shared" si="48"/>
        <v>48.6</v>
      </c>
      <c r="K126" s="43">
        <f t="shared" si="48"/>
        <v>0</v>
      </c>
      <c r="L126" s="43">
        <f t="shared" si="48"/>
        <v>53</v>
      </c>
      <c r="M126" s="43">
        <f t="shared" si="48"/>
        <v>55.4</v>
      </c>
    </row>
    <row r="127" spans="1:15" ht="14.25" customHeight="1" x14ac:dyDescent="0.2">
      <c r="A127" s="116"/>
      <c r="B127" s="119"/>
      <c r="C127" s="122"/>
      <c r="D127" s="41" t="s">
        <v>11</v>
      </c>
      <c r="E127" s="43">
        <f t="shared" si="46"/>
        <v>329.4</v>
      </c>
      <c r="F127" s="43">
        <v>40</v>
      </c>
      <c r="G127" s="43">
        <v>42</v>
      </c>
      <c r="H127" s="43">
        <v>44.1</v>
      </c>
      <c r="I127" s="43">
        <v>46.3</v>
      </c>
      <c r="J127" s="43">
        <v>48.6</v>
      </c>
      <c r="K127" s="43">
        <f>51-51</f>
        <v>0</v>
      </c>
      <c r="L127" s="43">
        <v>53</v>
      </c>
      <c r="M127" s="43">
        <f>55.1+0.3</f>
        <v>55.4</v>
      </c>
    </row>
    <row r="128" spans="1:15" ht="14.25" customHeight="1" x14ac:dyDescent="0.2">
      <c r="A128" s="117"/>
      <c r="B128" s="120"/>
      <c r="C128" s="123"/>
      <c r="D128" s="41" t="s">
        <v>10</v>
      </c>
      <c r="E128" s="43">
        <f t="shared" si="46"/>
        <v>0</v>
      </c>
      <c r="F128" s="43">
        <v>0</v>
      </c>
      <c r="G128" s="43">
        <v>0</v>
      </c>
      <c r="H128" s="43">
        <v>0</v>
      </c>
      <c r="I128" s="43">
        <v>0</v>
      </c>
      <c r="J128" s="43">
        <v>0</v>
      </c>
      <c r="K128" s="43">
        <v>0</v>
      </c>
      <c r="L128" s="43">
        <v>0</v>
      </c>
      <c r="M128" s="43">
        <v>0</v>
      </c>
    </row>
    <row r="129" spans="1:15" ht="15" customHeight="1" x14ac:dyDescent="0.2">
      <c r="A129" s="115" t="s">
        <v>147</v>
      </c>
      <c r="B129" s="118" t="s">
        <v>54</v>
      </c>
      <c r="C129" s="121" t="s">
        <v>292</v>
      </c>
      <c r="D129" s="41" t="s">
        <v>109</v>
      </c>
      <c r="E129" s="43">
        <f t="shared" si="46"/>
        <v>189.7</v>
      </c>
      <c r="F129" s="43">
        <f>F130+F131</f>
        <v>20</v>
      </c>
      <c r="G129" s="43">
        <f t="shared" ref="G129:M129" si="49">G130+G131</f>
        <v>21</v>
      </c>
      <c r="H129" s="43">
        <f t="shared" si="49"/>
        <v>22</v>
      </c>
      <c r="I129" s="43">
        <f t="shared" si="49"/>
        <v>23.1</v>
      </c>
      <c r="J129" s="43">
        <f t="shared" si="49"/>
        <v>24.3</v>
      </c>
      <c r="K129" s="43">
        <f t="shared" si="49"/>
        <v>25.5</v>
      </c>
      <c r="L129" s="43">
        <f t="shared" si="49"/>
        <v>26.5</v>
      </c>
      <c r="M129" s="43">
        <f t="shared" si="49"/>
        <v>27.3</v>
      </c>
    </row>
    <row r="130" spans="1:15" ht="14.25" customHeight="1" x14ac:dyDescent="0.2">
      <c r="A130" s="116"/>
      <c r="B130" s="119"/>
      <c r="C130" s="122"/>
      <c r="D130" s="41" t="s">
        <v>11</v>
      </c>
      <c r="E130" s="43">
        <f t="shared" si="46"/>
        <v>189.7</v>
      </c>
      <c r="F130" s="43">
        <v>20</v>
      </c>
      <c r="G130" s="43">
        <v>21</v>
      </c>
      <c r="H130" s="43">
        <v>22</v>
      </c>
      <c r="I130" s="43">
        <v>23.1</v>
      </c>
      <c r="J130" s="43">
        <v>24.3</v>
      </c>
      <c r="K130" s="43">
        <v>25.5</v>
      </c>
      <c r="L130" s="43">
        <v>26.5</v>
      </c>
      <c r="M130" s="43">
        <f>27.6-0.3</f>
        <v>27.3</v>
      </c>
    </row>
    <row r="131" spans="1:15" ht="14.25" customHeight="1" x14ac:dyDescent="0.2">
      <c r="A131" s="117"/>
      <c r="B131" s="120"/>
      <c r="C131" s="123"/>
      <c r="D131" s="41" t="s">
        <v>10</v>
      </c>
      <c r="E131" s="43">
        <f t="shared" si="46"/>
        <v>0</v>
      </c>
      <c r="F131" s="43">
        <v>0</v>
      </c>
      <c r="G131" s="43">
        <v>0</v>
      </c>
      <c r="H131" s="43">
        <v>0</v>
      </c>
      <c r="I131" s="43">
        <v>0</v>
      </c>
      <c r="J131" s="43">
        <v>0</v>
      </c>
      <c r="K131" s="43">
        <v>0</v>
      </c>
      <c r="L131" s="43">
        <v>0</v>
      </c>
      <c r="M131" s="43">
        <v>0</v>
      </c>
    </row>
    <row r="132" spans="1:15" ht="14.25" customHeight="1" x14ac:dyDescent="0.2">
      <c r="A132" s="115" t="s">
        <v>148</v>
      </c>
      <c r="B132" s="118" t="s">
        <v>266</v>
      </c>
      <c r="C132" s="121" t="s">
        <v>292</v>
      </c>
      <c r="D132" s="41" t="s">
        <v>109</v>
      </c>
      <c r="E132" s="43">
        <f t="shared" si="46"/>
        <v>284.8</v>
      </c>
      <c r="F132" s="43">
        <f>F133+F134</f>
        <v>30</v>
      </c>
      <c r="G132" s="43">
        <f t="shared" ref="G132:M132" si="50">G133+G134</f>
        <v>31.5</v>
      </c>
      <c r="H132" s="43">
        <f t="shared" si="50"/>
        <v>33</v>
      </c>
      <c r="I132" s="43">
        <f t="shared" si="50"/>
        <v>34.700000000000003</v>
      </c>
      <c r="J132" s="43">
        <f t="shared" si="50"/>
        <v>36.4</v>
      </c>
      <c r="K132" s="43">
        <f t="shared" si="50"/>
        <v>38.200000000000003</v>
      </c>
      <c r="L132" s="43">
        <f t="shared" si="50"/>
        <v>39.700000000000003</v>
      </c>
      <c r="M132" s="43">
        <f t="shared" si="50"/>
        <v>41.3</v>
      </c>
    </row>
    <row r="133" spans="1:15" ht="14.25" customHeight="1" x14ac:dyDescent="0.2">
      <c r="A133" s="116"/>
      <c r="B133" s="119"/>
      <c r="C133" s="122"/>
      <c r="D133" s="41" t="s">
        <v>11</v>
      </c>
      <c r="E133" s="43">
        <f t="shared" si="46"/>
        <v>284.8</v>
      </c>
      <c r="F133" s="43">
        <v>30</v>
      </c>
      <c r="G133" s="43">
        <v>31.5</v>
      </c>
      <c r="H133" s="43">
        <v>33</v>
      </c>
      <c r="I133" s="43">
        <v>34.700000000000003</v>
      </c>
      <c r="J133" s="43">
        <v>36.4</v>
      </c>
      <c r="K133" s="43">
        <v>38.200000000000003</v>
      </c>
      <c r="L133" s="43">
        <v>39.700000000000003</v>
      </c>
      <c r="M133" s="43">
        <v>41.3</v>
      </c>
    </row>
    <row r="134" spans="1:15" ht="14.25" customHeight="1" x14ac:dyDescent="0.2">
      <c r="A134" s="117"/>
      <c r="B134" s="120"/>
      <c r="C134" s="123"/>
      <c r="D134" s="41" t="s">
        <v>10</v>
      </c>
      <c r="E134" s="43">
        <f t="shared" si="46"/>
        <v>0</v>
      </c>
      <c r="F134" s="43">
        <v>0</v>
      </c>
      <c r="G134" s="43">
        <v>0</v>
      </c>
      <c r="H134" s="43">
        <v>0</v>
      </c>
      <c r="I134" s="43">
        <v>0</v>
      </c>
      <c r="J134" s="43">
        <v>0</v>
      </c>
      <c r="K134" s="43">
        <v>0</v>
      </c>
      <c r="L134" s="43">
        <v>0</v>
      </c>
      <c r="M134" s="43">
        <v>0</v>
      </c>
    </row>
    <row r="135" spans="1:15" ht="14.25" customHeight="1" x14ac:dyDescent="0.2">
      <c r="A135" s="115" t="s">
        <v>149</v>
      </c>
      <c r="B135" s="118" t="s">
        <v>55</v>
      </c>
      <c r="C135" s="121" t="s">
        <v>292</v>
      </c>
      <c r="D135" s="41" t="s">
        <v>109</v>
      </c>
      <c r="E135" s="43">
        <f t="shared" si="46"/>
        <v>2268.6</v>
      </c>
      <c r="F135" s="43">
        <f>F136+F137</f>
        <v>500</v>
      </c>
      <c r="G135" s="43">
        <f t="shared" ref="G135:M135" si="51">G136+G137</f>
        <v>0</v>
      </c>
      <c r="H135" s="43">
        <f t="shared" si="51"/>
        <v>551.20000000000005</v>
      </c>
      <c r="I135" s="43">
        <f t="shared" si="51"/>
        <v>0</v>
      </c>
      <c r="J135" s="43">
        <f t="shared" si="51"/>
        <v>607.4</v>
      </c>
      <c r="K135" s="43">
        <f t="shared" si="51"/>
        <v>0</v>
      </c>
      <c r="L135" s="43">
        <f t="shared" si="51"/>
        <v>610</v>
      </c>
      <c r="M135" s="43">
        <f t="shared" si="51"/>
        <v>0</v>
      </c>
    </row>
    <row r="136" spans="1:15" ht="14.25" customHeight="1" x14ac:dyDescent="0.2">
      <c r="A136" s="116"/>
      <c r="B136" s="119"/>
      <c r="C136" s="122"/>
      <c r="D136" s="41" t="s">
        <v>11</v>
      </c>
      <c r="E136" s="43">
        <f t="shared" si="46"/>
        <v>2268.6</v>
      </c>
      <c r="F136" s="43">
        <v>500</v>
      </c>
      <c r="G136" s="43">
        <v>0</v>
      </c>
      <c r="H136" s="43">
        <v>551.20000000000005</v>
      </c>
      <c r="I136" s="43">
        <v>0</v>
      </c>
      <c r="J136" s="43">
        <v>607.4</v>
      </c>
      <c r="K136" s="43">
        <v>0</v>
      </c>
      <c r="L136" s="43">
        <v>610</v>
      </c>
      <c r="M136" s="43">
        <v>0</v>
      </c>
    </row>
    <row r="137" spans="1:15" ht="14.25" customHeight="1" x14ac:dyDescent="0.2">
      <c r="A137" s="117"/>
      <c r="B137" s="120"/>
      <c r="C137" s="123"/>
      <c r="D137" s="41" t="s">
        <v>10</v>
      </c>
      <c r="E137" s="43">
        <f t="shared" si="46"/>
        <v>0</v>
      </c>
      <c r="F137" s="43">
        <v>0</v>
      </c>
      <c r="G137" s="43">
        <v>0</v>
      </c>
      <c r="H137" s="43">
        <v>0</v>
      </c>
      <c r="I137" s="43">
        <v>0</v>
      </c>
      <c r="J137" s="43">
        <v>0</v>
      </c>
      <c r="K137" s="43">
        <v>0</v>
      </c>
      <c r="L137" s="43">
        <v>0</v>
      </c>
      <c r="M137" s="43">
        <v>0</v>
      </c>
    </row>
    <row r="138" spans="1:15" ht="14.25" customHeight="1" x14ac:dyDescent="0.2">
      <c r="A138" s="133" t="s">
        <v>185</v>
      </c>
      <c r="B138" s="134"/>
      <c r="C138" s="135"/>
      <c r="D138" s="41" t="s">
        <v>109</v>
      </c>
      <c r="E138" s="43">
        <f>F138+G138+H138+I138+J138+K138+L138+M138</f>
        <v>3417.3999999999996</v>
      </c>
      <c r="F138" s="43">
        <f t="shared" ref="F138:K138" si="52">SUM(F139:F140)</f>
        <v>590</v>
      </c>
      <c r="G138" s="43">
        <f t="shared" si="52"/>
        <v>144.5</v>
      </c>
      <c r="H138" s="43">
        <v>650.29999999999995</v>
      </c>
      <c r="I138" s="43">
        <f t="shared" si="52"/>
        <v>159.19999999999999</v>
      </c>
      <c r="J138" s="43">
        <f t="shared" si="52"/>
        <v>716.69999999999993</v>
      </c>
      <c r="K138" s="43">
        <f t="shared" si="52"/>
        <v>175.2</v>
      </c>
      <c r="L138" s="43">
        <f>L139+L140</f>
        <v>792.1</v>
      </c>
      <c r="M138" s="43">
        <f t="shared" ref="M138" si="53">M139+M140</f>
        <v>189.4</v>
      </c>
      <c r="O138" s="46"/>
    </row>
    <row r="139" spans="1:15" ht="14.25" customHeight="1" x14ac:dyDescent="0.2">
      <c r="A139" s="136"/>
      <c r="B139" s="137"/>
      <c r="C139" s="138"/>
      <c r="D139" s="41" t="s">
        <v>11</v>
      </c>
      <c r="E139" s="43">
        <f>SUM(F139:M139)</f>
        <v>3417.4</v>
      </c>
      <c r="F139" s="43">
        <f>F136+F133+F130+F127+F124</f>
        <v>590</v>
      </c>
      <c r="G139" s="43">
        <f t="shared" ref="G139:M139" si="54">G136+G133+G130+G127+G124</f>
        <v>144.5</v>
      </c>
      <c r="H139" s="43">
        <f t="shared" si="54"/>
        <v>650.30000000000007</v>
      </c>
      <c r="I139" s="43">
        <f t="shared" si="54"/>
        <v>159.19999999999999</v>
      </c>
      <c r="J139" s="43">
        <f t="shared" si="54"/>
        <v>716.69999999999993</v>
      </c>
      <c r="K139" s="43">
        <f t="shared" si="54"/>
        <v>175.2</v>
      </c>
      <c r="L139" s="43">
        <f>L136+L133+L130+L127+L124</f>
        <v>792.1</v>
      </c>
      <c r="M139" s="43">
        <f t="shared" si="54"/>
        <v>189.4</v>
      </c>
      <c r="O139" s="46"/>
    </row>
    <row r="140" spans="1:15" ht="14.25" customHeight="1" x14ac:dyDescent="0.2">
      <c r="A140" s="139"/>
      <c r="B140" s="140"/>
      <c r="C140" s="141"/>
      <c r="D140" s="41" t="s">
        <v>10</v>
      </c>
      <c r="E140" s="43">
        <f>F140+G140+H140+I140+J140+K140+L140+M140</f>
        <v>0</v>
      </c>
      <c r="F140" s="43">
        <f>F137+F134+F131+F128+F125</f>
        <v>0</v>
      </c>
      <c r="G140" s="43">
        <f t="shared" ref="G140:M140" si="55">G137+G134+G131+G128+G125</f>
        <v>0</v>
      </c>
      <c r="H140" s="43">
        <f t="shared" si="55"/>
        <v>0</v>
      </c>
      <c r="I140" s="43">
        <f t="shared" si="55"/>
        <v>0</v>
      </c>
      <c r="J140" s="43">
        <f t="shared" si="55"/>
        <v>0</v>
      </c>
      <c r="K140" s="43">
        <f t="shared" si="55"/>
        <v>0</v>
      </c>
      <c r="L140" s="43">
        <f t="shared" si="55"/>
        <v>0</v>
      </c>
      <c r="M140" s="43">
        <f t="shared" si="55"/>
        <v>0</v>
      </c>
    </row>
    <row r="141" spans="1:15" ht="24" customHeight="1" x14ac:dyDescent="0.2">
      <c r="A141" s="143" t="s">
        <v>58</v>
      </c>
      <c r="B141" s="143"/>
      <c r="C141" s="143"/>
      <c r="D141" s="143"/>
      <c r="E141" s="143"/>
      <c r="F141" s="143"/>
      <c r="G141" s="143"/>
      <c r="H141" s="143"/>
      <c r="I141" s="143"/>
      <c r="J141" s="143"/>
      <c r="K141" s="143"/>
      <c r="L141" s="143"/>
      <c r="M141" s="143"/>
    </row>
    <row r="142" spans="1:15" ht="26.25" customHeight="1" x14ac:dyDescent="0.2">
      <c r="A142" s="115" t="s">
        <v>150</v>
      </c>
      <c r="B142" s="118" t="s">
        <v>273</v>
      </c>
      <c r="C142" s="121" t="s">
        <v>192</v>
      </c>
      <c r="D142" s="41" t="s">
        <v>109</v>
      </c>
      <c r="E142" s="43">
        <f>F142+G142+H142+I142+J142+K142+L142+M142</f>
        <v>172.9</v>
      </c>
      <c r="F142" s="48">
        <f>F143+F144</f>
        <v>0</v>
      </c>
      <c r="G142" s="48">
        <f t="shared" ref="G142:M142" si="56">G143+G144</f>
        <v>50</v>
      </c>
      <c r="H142" s="48">
        <f t="shared" si="56"/>
        <v>0</v>
      </c>
      <c r="I142" s="48">
        <f t="shared" si="56"/>
        <v>57.9</v>
      </c>
      <c r="J142" s="48">
        <f t="shared" si="56"/>
        <v>0</v>
      </c>
      <c r="K142" s="48">
        <f>K143+K144</f>
        <v>0</v>
      </c>
      <c r="L142" s="48">
        <f t="shared" si="56"/>
        <v>0</v>
      </c>
      <c r="M142" s="48">
        <f t="shared" si="56"/>
        <v>65</v>
      </c>
    </row>
    <row r="143" spans="1:15" ht="14.25" customHeight="1" x14ac:dyDescent="0.2">
      <c r="A143" s="116"/>
      <c r="B143" s="119"/>
      <c r="C143" s="122"/>
      <c r="D143" s="41" t="s">
        <v>11</v>
      </c>
      <c r="E143" s="43">
        <f t="shared" ref="E143:E168" si="57">F143+G143+H143+I143+J143+K143+L143+M143</f>
        <v>172.9</v>
      </c>
      <c r="F143" s="43">
        <v>0</v>
      </c>
      <c r="G143" s="43">
        <v>50</v>
      </c>
      <c r="H143" s="43">
        <v>0</v>
      </c>
      <c r="I143" s="43">
        <v>57.9</v>
      </c>
      <c r="J143" s="43">
        <v>0</v>
      </c>
      <c r="K143" s="43">
        <f>63.8-63.8</f>
        <v>0</v>
      </c>
      <c r="L143" s="43">
        <v>0</v>
      </c>
      <c r="M143" s="43">
        <v>65</v>
      </c>
    </row>
    <row r="144" spans="1:15" ht="14.25" customHeight="1" x14ac:dyDescent="0.2">
      <c r="A144" s="117"/>
      <c r="B144" s="120"/>
      <c r="C144" s="123"/>
      <c r="D144" s="41" t="s">
        <v>10</v>
      </c>
      <c r="E144" s="43">
        <f t="shared" si="57"/>
        <v>0</v>
      </c>
      <c r="F144" s="43">
        <v>0</v>
      </c>
      <c r="G144" s="43">
        <v>0</v>
      </c>
      <c r="H144" s="43">
        <v>0</v>
      </c>
      <c r="I144" s="43">
        <v>0</v>
      </c>
      <c r="J144" s="43">
        <v>0</v>
      </c>
      <c r="K144" s="43">
        <v>0</v>
      </c>
      <c r="L144" s="43">
        <v>0</v>
      </c>
      <c r="M144" s="43">
        <v>0</v>
      </c>
    </row>
    <row r="145" spans="1:18" ht="26.25" customHeight="1" x14ac:dyDescent="0.2">
      <c r="A145" s="115" t="s">
        <v>151</v>
      </c>
      <c r="B145" s="118" t="s">
        <v>60</v>
      </c>
      <c r="C145" s="121" t="s">
        <v>192</v>
      </c>
      <c r="D145" s="41" t="s">
        <v>109</v>
      </c>
      <c r="E145" s="43">
        <f t="shared" si="57"/>
        <v>6968.5</v>
      </c>
      <c r="F145" s="43">
        <f>F146+F147</f>
        <v>370</v>
      </c>
      <c r="G145" s="43">
        <f t="shared" ref="G145:M145" si="58">G146+G147</f>
        <v>94.5</v>
      </c>
      <c r="H145" s="43">
        <f t="shared" si="58"/>
        <v>99.2</v>
      </c>
      <c r="I145" s="43">
        <f t="shared" si="58"/>
        <v>104.1</v>
      </c>
      <c r="J145" s="43">
        <f t="shared" si="58"/>
        <v>109.3</v>
      </c>
      <c r="K145" s="43">
        <f t="shared" si="58"/>
        <v>114.8</v>
      </c>
      <c r="L145" s="43">
        <f t="shared" si="58"/>
        <v>2660.4</v>
      </c>
      <c r="M145" s="43">
        <f t="shared" si="58"/>
        <v>3416.2</v>
      </c>
    </row>
    <row r="146" spans="1:18" ht="14.25" customHeight="1" x14ac:dyDescent="0.2">
      <c r="A146" s="116"/>
      <c r="B146" s="119"/>
      <c r="C146" s="122"/>
      <c r="D146" s="41" t="s">
        <v>11</v>
      </c>
      <c r="E146" s="43">
        <f t="shared" si="57"/>
        <v>6968.5</v>
      </c>
      <c r="F146" s="43">
        <v>370</v>
      </c>
      <c r="G146" s="43">
        <v>94.5</v>
      </c>
      <c r="H146" s="43">
        <v>99.2</v>
      </c>
      <c r="I146" s="43">
        <v>104.1</v>
      </c>
      <c r="J146" s="43">
        <v>109.3</v>
      </c>
      <c r="K146" s="43">
        <v>114.8</v>
      </c>
      <c r="L146" s="43">
        <v>2660.4</v>
      </c>
      <c r="M146" s="43">
        <f>124.2+3292</f>
        <v>3416.2</v>
      </c>
    </row>
    <row r="147" spans="1:18" ht="14.25" customHeight="1" x14ac:dyDescent="0.2">
      <c r="A147" s="117"/>
      <c r="B147" s="120"/>
      <c r="C147" s="123"/>
      <c r="D147" s="41" t="s">
        <v>10</v>
      </c>
      <c r="E147" s="43">
        <f t="shared" si="57"/>
        <v>0</v>
      </c>
      <c r="F147" s="43">
        <v>0</v>
      </c>
      <c r="G147" s="43">
        <v>0</v>
      </c>
      <c r="H147" s="43">
        <v>0</v>
      </c>
      <c r="I147" s="43">
        <v>0</v>
      </c>
      <c r="J147" s="43">
        <v>0</v>
      </c>
      <c r="K147" s="43">
        <v>0</v>
      </c>
      <c r="L147" s="43">
        <v>0</v>
      </c>
      <c r="M147" s="43">
        <v>0</v>
      </c>
    </row>
    <row r="148" spans="1:18" ht="26.25" customHeight="1" x14ac:dyDescent="0.2">
      <c r="A148" s="115" t="s">
        <v>152</v>
      </c>
      <c r="B148" s="130" t="s">
        <v>325</v>
      </c>
      <c r="C148" s="121" t="s">
        <v>192</v>
      </c>
      <c r="D148" s="41" t="s">
        <v>109</v>
      </c>
      <c r="E148" s="43">
        <f t="shared" si="57"/>
        <v>163.49999999999997</v>
      </c>
      <c r="F148" s="43">
        <f>F149+F150</f>
        <v>20</v>
      </c>
      <c r="G148" s="43">
        <f t="shared" ref="G148:M148" si="59">G149+G150</f>
        <v>21</v>
      </c>
      <c r="H148" s="43">
        <f t="shared" si="59"/>
        <v>22</v>
      </c>
      <c r="I148" s="43">
        <f t="shared" si="59"/>
        <v>23.1</v>
      </c>
      <c r="J148" s="43">
        <f t="shared" si="59"/>
        <v>24.3</v>
      </c>
      <c r="K148" s="43">
        <f t="shared" si="59"/>
        <v>25.5</v>
      </c>
      <c r="L148" s="43">
        <f t="shared" si="59"/>
        <v>0</v>
      </c>
      <c r="M148" s="43">
        <f t="shared" si="59"/>
        <v>27.6</v>
      </c>
    </row>
    <row r="149" spans="1:18" ht="14.25" customHeight="1" x14ac:dyDescent="0.2">
      <c r="A149" s="116"/>
      <c r="B149" s="131"/>
      <c r="C149" s="122"/>
      <c r="D149" s="41" t="s">
        <v>11</v>
      </c>
      <c r="E149" s="43">
        <f t="shared" si="57"/>
        <v>163.49999999999997</v>
      </c>
      <c r="F149" s="43">
        <v>20</v>
      </c>
      <c r="G149" s="43">
        <v>21</v>
      </c>
      <c r="H149" s="43">
        <v>22</v>
      </c>
      <c r="I149" s="43">
        <v>23.1</v>
      </c>
      <c r="J149" s="43">
        <v>24.3</v>
      </c>
      <c r="K149" s="43">
        <v>25.5</v>
      </c>
      <c r="L149" s="43">
        <f>26.5-26.5</f>
        <v>0</v>
      </c>
      <c r="M149" s="43">
        <v>27.6</v>
      </c>
    </row>
    <row r="150" spans="1:18" ht="14.25" customHeight="1" x14ac:dyDescent="0.2">
      <c r="A150" s="117"/>
      <c r="B150" s="132"/>
      <c r="C150" s="123"/>
      <c r="D150" s="41" t="s">
        <v>10</v>
      </c>
      <c r="E150" s="43">
        <f t="shared" si="57"/>
        <v>0</v>
      </c>
      <c r="F150" s="43">
        <v>0</v>
      </c>
      <c r="G150" s="43">
        <v>0</v>
      </c>
      <c r="H150" s="43">
        <v>0</v>
      </c>
      <c r="I150" s="43">
        <v>0</v>
      </c>
      <c r="J150" s="43">
        <v>0</v>
      </c>
      <c r="K150" s="43">
        <v>0</v>
      </c>
      <c r="L150" s="43">
        <v>0</v>
      </c>
      <c r="M150" s="43">
        <v>0</v>
      </c>
    </row>
    <row r="151" spans="1:18" ht="26.25" customHeight="1" x14ac:dyDescent="0.2">
      <c r="A151" s="115" t="s">
        <v>153</v>
      </c>
      <c r="B151" s="118" t="s">
        <v>61</v>
      </c>
      <c r="C151" s="121" t="s">
        <v>192</v>
      </c>
      <c r="D151" s="41" t="s">
        <v>109</v>
      </c>
      <c r="E151" s="43">
        <f t="shared" si="57"/>
        <v>869.19999999999993</v>
      </c>
      <c r="F151" s="43">
        <f>F152+F153</f>
        <v>90</v>
      </c>
      <c r="G151" s="43">
        <f t="shared" ref="G151:L151" si="60">G152+G153</f>
        <v>94.5</v>
      </c>
      <c r="H151" s="43">
        <f t="shared" si="60"/>
        <v>99.2</v>
      </c>
      <c r="I151" s="43">
        <f t="shared" si="60"/>
        <v>104.2</v>
      </c>
      <c r="J151" s="43">
        <f t="shared" si="60"/>
        <v>109.4</v>
      </c>
      <c r="K151" s="43">
        <f t="shared" si="60"/>
        <v>114.8</v>
      </c>
      <c r="L151" s="43">
        <f t="shared" si="60"/>
        <v>140.5</v>
      </c>
      <c r="M151" s="43">
        <f>M152+M153</f>
        <v>116.6</v>
      </c>
    </row>
    <row r="152" spans="1:18" ht="14.25" customHeight="1" x14ac:dyDescent="0.2">
      <c r="A152" s="116"/>
      <c r="B152" s="119"/>
      <c r="C152" s="122"/>
      <c r="D152" s="41" t="s">
        <v>11</v>
      </c>
      <c r="E152" s="43">
        <f t="shared" si="57"/>
        <v>869.19999999999993</v>
      </c>
      <c r="F152" s="43">
        <v>90</v>
      </c>
      <c r="G152" s="43">
        <v>94.5</v>
      </c>
      <c r="H152" s="43">
        <v>99.2</v>
      </c>
      <c r="I152" s="43">
        <v>104.2</v>
      </c>
      <c r="J152" s="43">
        <v>109.4</v>
      </c>
      <c r="K152" s="43">
        <v>114.8</v>
      </c>
      <c r="L152" s="43">
        <f>119.4+21.1</f>
        <v>140.5</v>
      </c>
      <c r="M152" s="43">
        <f>124.1-7.5</f>
        <v>116.6</v>
      </c>
    </row>
    <row r="153" spans="1:18" ht="14.25" customHeight="1" x14ac:dyDescent="0.2">
      <c r="A153" s="117"/>
      <c r="B153" s="120"/>
      <c r="C153" s="123"/>
      <c r="D153" s="41" t="s">
        <v>10</v>
      </c>
      <c r="E153" s="43">
        <f t="shared" si="57"/>
        <v>0</v>
      </c>
      <c r="F153" s="43">
        <v>0</v>
      </c>
      <c r="G153" s="43">
        <v>0</v>
      </c>
      <c r="H153" s="43">
        <v>0</v>
      </c>
      <c r="I153" s="43">
        <v>0</v>
      </c>
      <c r="J153" s="43">
        <v>0</v>
      </c>
      <c r="K153" s="43">
        <v>0</v>
      </c>
      <c r="L153" s="43">
        <v>0</v>
      </c>
      <c r="M153" s="43">
        <v>0</v>
      </c>
      <c r="P153" s="46"/>
      <c r="Q153" s="46"/>
      <c r="R153" s="46"/>
    </row>
    <row r="154" spans="1:18" ht="26.25" customHeight="1" x14ac:dyDescent="0.2">
      <c r="A154" s="115" t="s">
        <v>154</v>
      </c>
      <c r="B154" s="118" t="s">
        <v>322</v>
      </c>
      <c r="C154" s="121" t="s">
        <v>192</v>
      </c>
      <c r="D154" s="41" t="s">
        <v>109</v>
      </c>
      <c r="E154" s="43">
        <f t="shared" si="57"/>
        <v>284.8</v>
      </c>
      <c r="F154" s="43">
        <f>F155+F156</f>
        <v>30</v>
      </c>
      <c r="G154" s="43">
        <f t="shared" ref="G154:M154" si="61">G155+G156</f>
        <v>31.5</v>
      </c>
      <c r="H154" s="43">
        <f t="shared" si="61"/>
        <v>33</v>
      </c>
      <c r="I154" s="43">
        <f t="shared" si="61"/>
        <v>34.700000000000003</v>
      </c>
      <c r="J154" s="43">
        <f t="shared" si="61"/>
        <v>36.4</v>
      </c>
      <c r="K154" s="43">
        <f t="shared" si="61"/>
        <v>38.200000000000003</v>
      </c>
      <c r="L154" s="43">
        <f t="shared" si="61"/>
        <v>39.700000000000003</v>
      </c>
      <c r="M154" s="43">
        <f t="shared" si="61"/>
        <v>41.3</v>
      </c>
    </row>
    <row r="155" spans="1:18" ht="14.25" customHeight="1" x14ac:dyDescent="0.2">
      <c r="A155" s="116"/>
      <c r="B155" s="119"/>
      <c r="C155" s="122"/>
      <c r="D155" s="41" t="s">
        <v>11</v>
      </c>
      <c r="E155" s="43">
        <f t="shared" si="57"/>
        <v>284.8</v>
      </c>
      <c r="F155" s="43">
        <v>30</v>
      </c>
      <c r="G155" s="43">
        <v>31.5</v>
      </c>
      <c r="H155" s="43">
        <v>33</v>
      </c>
      <c r="I155" s="43">
        <v>34.700000000000003</v>
      </c>
      <c r="J155" s="43">
        <v>36.4</v>
      </c>
      <c r="K155" s="43">
        <v>38.200000000000003</v>
      </c>
      <c r="L155" s="43">
        <v>39.700000000000003</v>
      </c>
      <c r="M155" s="43">
        <v>41.3</v>
      </c>
    </row>
    <row r="156" spans="1:18" ht="9" customHeight="1" x14ac:dyDescent="0.2">
      <c r="A156" s="117"/>
      <c r="B156" s="120"/>
      <c r="C156" s="123"/>
      <c r="D156" s="41" t="s">
        <v>10</v>
      </c>
      <c r="E156" s="43">
        <f t="shared" si="57"/>
        <v>0</v>
      </c>
      <c r="F156" s="43">
        <v>0</v>
      </c>
      <c r="G156" s="43">
        <v>0</v>
      </c>
      <c r="H156" s="43">
        <v>0</v>
      </c>
      <c r="I156" s="43">
        <v>0</v>
      </c>
      <c r="J156" s="43">
        <v>0</v>
      </c>
      <c r="K156" s="43">
        <v>0</v>
      </c>
      <c r="L156" s="43">
        <v>0</v>
      </c>
      <c r="M156" s="43">
        <v>0</v>
      </c>
      <c r="P156" s="46"/>
      <c r="Q156" s="46"/>
      <c r="R156" s="46"/>
    </row>
    <row r="157" spans="1:18" ht="26.25" customHeight="1" x14ac:dyDescent="0.2">
      <c r="A157" s="115" t="s">
        <v>155</v>
      </c>
      <c r="B157" s="118" t="s">
        <v>62</v>
      </c>
      <c r="C157" s="121" t="s">
        <v>192</v>
      </c>
      <c r="D157" s="41" t="s">
        <v>109</v>
      </c>
      <c r="E157" s="43">
        <f t="shared" si="57"/>
        <v>411.70000000000005</v>
      </c>
      <c r="F157" s="43">
        <f>F158+F159</f>
        <v>50</v>
      </c>
      <c r="G157" s="43">
        <f t="shared" ref="G157:M157" si="62">G158+G159</f>
        <v>52.5</v>
      </c>
      <c r="H157" s="43">
        <f t="shared" si="62"/>
        <v>55.1</v>
      </c>
      <c r="I157" s="43">
        <f t="shared" si="62"/>
        <v>57.9</v>
      </c>
      <c r="J157" s="43">
        <f t="shared" si="62"/>
        <v>60.8</v>
      </c>
      <c r="K157" s="43">
        <f>K158+K159</f>
        <v>0</v>
      </c>
      <c r="L157" s="43">
        <f t="shared" si="62"/>
        <v>66.400000000000006</v>
      </c>
      <c r="M157" s="43">
        <f t="shared" si="62"/>
        <v>69</v>
      </c>
    </row>
    <row r="158" spans="1:18" ht="14.25" customHeight="1" x14ac:dyDescent="0.2">
      <c r="A158" s="116"/>
      <c r="B158" s="119"/>
      <c r="C158" s="122"/>
      <c r="D158" s="41" t="s">
        <v>11</v>
      </c>
      <c r="E158" s="43">
        <f t="shared" si="57"/>
        <v>411.70000000000005</v>
      </c>
      <c r="F158" s="43">
        <v>50</v>
      </c>
      <c r="G158" s="43">
        <v>52.5</v>
      </c>
      <c r="H158" s="43">
        <v>55.1</v>
      </c>
      <c r="I158" s="43">
        <v>57.9</v>
      </c>
      <c r="J158" s="43">
        <v>60.8</v>
      </c>
      <c r="K158" s="43">
        <f>63.8-63.8</f>
        <v>0</v>
      </c>
      <c r="L158" s="43">
        <v>66.400000000000006</v>
      </c>
      <c r="M158" s="43">
        <v>69</v>
      </c>
    </row>
    <row r="159" spans="1:18" ht="14.25" customHeight="1" x14ac:dyDescent="0.2">
      <c r="A159" s="117"/>
      <c r="B159" s="120"/>
      <c r="C159" s="123"/>
      <c r="D159" s="41" t="s">
        <v>10</v>
      </c>
      <c r="E159" s="43">
        <f t="shared" si="57"/>
        <v>0</v>
      </c>
      <c r="F159" s="43">
        <v>0</v>
      </c>
      <c r="G159" s="43">
        <v>0</v>
      </c>
      <c r="H159" s="43">
        <v>0</v>
      </c>
      <c r="I159" s="43">
        <v>0</v>
      </c>
      <c r="J159" s="43">
        <v>0</v>
      </c>
      <c r="K159" s="43">
        <v>0</v>
      </c>
      <c r="L159" s="43">
        <v>0</v>
      </c>
      <c r="M159" s="43">
        <v>0</v>
      </c>
    </row>
    <row r="160" spans="1:18" ht="26.25" customHeight="1" x14ac:dyDescent="0.2">
      <c r="A160" s="115" t="s">
        <v>156</v>
      </c>
      <c r="B160" s="118" t="s">
        <v>63</v>
      </c>
      <c r="C160" s="121" t="s">
        <v>192</v>
      </c>
      <c r="D160" s="41" t="s">
        <v>109</v>
      </c>
      <c r="E160" s="43">
        <f t="shared" si="57"/>
        <v>11941.4</v>
      </c>
      <c r="F160" s="43">
        <f>F161+F162</f>
        <v>0</v>
      </c>
      <c r="G160" s="43">
        <f t="shared" ref="G160:M160" si="63">G161+G162</f>
        <v>0</v>
      </c>
      <c r="H160" s="43">
        <f t="shared" si="63"/>
        <v>2925.9</v>
      </c>
      <c r="I160" s="43">
        <f>I161+I162</f>
        <v>3491.7</v>
      </c>
      <c r="J160" s="43">
        <f t="shared" si="63"/>
        <v>880.3</v>
      </c>
      <c r="K160" s="43">
        <v>2293.6999999999998</v>
      </c>
      <c r="L160" s="43">
        <f t="shared" si="63"/>
        <v>805.29999999999927</v>
      </c>
      <c r="M160" s="43">
        <f t="shared" si="63"/>
        <v>1544.5</v>
      </c>
      <c r="P160" s="46"/>
      <c r="Q160" s="46"/>
    </row>
    <row r="161" spans="1:15" ht="14.25" customHeight="1" x14ac:dyDescent="0.2">
      <c r="A161" s="116"/>
      <c r="B161" s="119"/>
      <c r="C161" s="122"/>
      <c r="D161" s="41" t="s">
        <v>11</v>
      </c>
      <c r="E161" s="43">
        <f t="shared" si="57"/>
        <v>11941.4</v>
      </c>
      <c r="F161" s="43">
        <v>0</v>
      </c>
      <c r="G161" s="43">
        <v>0</v>
      </c>
      <c r="H161" s="43">
        <f>810+2115.9</f>
        <v>2925.9</v>
      </c>
      <c r="I161" s="43">
        <f>3241.7+250</f>
        <v>3491.7</v>
      </c>
      <c r="J161" s="43">
        <v>880.3</v>
      </c>
      <c r="K161" s="43">
        <v>2293.6999999999998</v>
      </c>
      <c r="L161" s="43">
        <f>1370.9+3600-4165.6</f>
        <v>805.29999999999927</v>
      </c>
      <c r="M161" s="43">
        <f>1425.8+7.5+111.2</f>
        <v>1544.5</v>
      </c>
    </row>
    <row r="162" spans="1:15" ht="14.25" customHeight="1" x14ac:dyDescent="0.2">
      <c r="A162" s="117"/>
      <c r="B162" s="120"/>
      <c r="C162" s="123"/>
      <c r="D162" s="41" t="s">
        <v>10</v>
      </c>
      <c r="E162" s="43">
        <f t="shared" si="57"/>
        <v>0</v>
      </c>
      <c r="F162" s="43">
        <v>0</v>
      </c>
      <c r="G162" s="43">
        <v>0</v>
      </c>
      <c r="H162" s="43">
        <v>0</v>
      </c>
      <c r="I162" s="43">
        <v>0</v>
      </c>
      <c r="J162" s="43">
        <v>0</v>
      </c>
      <c r="K162" s="43">
        <v>0</v>
      </c>
      <c r="L162" s="43">
        <v>0</v>
      </c>
      <c r="M162" s="43">
        <v>0</v>
      </c>
    </row>
    <row r="163" spans="1:15" ht="26.25" customHeight="1" x14ac:dyDescent="0.2">
      <c r="A163" s="115" t="s">
        <v>157</v>
      </c>
      <c r="B163" s="118" t="s">
        <v>64</v>
      </c>
      <c r="C163" s="121" t="s">
        <v>192</v>
      </c>
      <c r="D163" s="41" t="s">
        <v>109</v>
      </c>
      <c r="E163" s="43">
        <f t="shared" si="57"/>
        <v>351497.15</v>
      </c>
      <c r="F163" s="43">
        <f t="shared" ref="F163:M163" si="64">F164</f>
        <v>31755.200000000001</v>
      </c>
      <c r="G163" s="43">
        <f t="shared" si="64"/>
        <v>34288.800000000003</v>
      </c>
      <c r="H163" s="43">
        <f t="shared" si="64"/>
        <v>37250.949999999997</v>
      </c>
      <c r="I163" s="43">
        <f t="shared" si="64"/>
        <v>41602</v>
      </c>
      <c r="J163" s="43">
        <f t="shared" si="64"/>
        <v>49348.800000000003</v>
      </c>
      <c r="K163" s="43">
        <f t="shared" si="64"/>
        <v>50654.6</v>
      </c>
      <c r="L163" s="43">
        <f t="shared" si="64"/>
        <v>51307.4</v>
      </c>
      <c r="M163" s="43">
        <f t="shared" si="64"/>
        <v>55289.4</v>
      </c>
    </row>
    <row r="164" spans="1:15" ht="14.25" customHeight="1" x14ac:dyDescent="0.2">
      <c r="A164" s="116"/>
      <c r="B164" s="119"/>
      <c r="C164" s="122"/>
      <c r="D164" s="41" t="s">
        <v>11</v>
      </c>
      <c r="E164" s="43">
        <f t="shared" si="57"/>
        <v>351497.15</v>
      </c>
      <c r="F164" s="43">
        <v>31755.200000000001</v>
      </c>
      <c r="G164" s="43">
        <v>34288.800000000003</v>
      </c>
      <c r="H164" s="43">
        <v>37250.949999999997</v>
      </c>
      <c r="I164" s="43">
        <v>41602</v>
      </c>
      <c r="J164" s="43">
        <v>49348.800000000003</v>
      </c>
      <c r="K164" s="43">
        <f>50541.4+113.2</f>
        <v>50654.6</v>
      </c>
      <c r="L164" s="43">
        <f>51454.5-77.1-70</f>
        <v>51307.4</v>
      </c>
      <c r="M164" s="43">
        <f>54865.6+535-111.2</f>
        <v>55289.4</v>
      </c>
    </row>
    <row r="165" spans="1:15" ht="14.25" customHeight="1" x14ac:dyDescent="0.2">
      <c r="A165" s="117"/>
      <c r="B165" s="120"/>
      <c r="C165" s="123"/>
      <c r="D165" s="41" t="s">
        <v>10</v>
      </c>
      <c r="E165" s="43">
        <f t="shared" si="57"/>
        <v>0</v>
      </c>
      <c r="F165" s="43">
        <v>0</v>
      </c>
      <c r="G165" s="43">
        <v>0</v>
      </c>
      <c r="H165" s="43">
        <v>0</v>
      </c>
      <c r="I165" s="43">
        <v>0</v>
      </c>
      <c r="J165" s="43">
        <v>0</v>
      </c>
      <c r="K165" s="43">
        <v>0</v>
      </c>
      <c r="L165" s="43">
        <v>0</v>
      </c>
      <c r="M165" s="43">
        <v>0</v>
      </c>
    </row>
    <row r="166" spans="1:15" ht="14.25" customHeight="1" x14ac:dyDescent="0.2">
      <c r="A166" s="133" t="s">
        <v>187</v>
      </c>
      <c r="B166" s="134"/>
      <c r="C166" s="135"/>
      <c r="D166" s="41" t="s">
        <v>109</v>
      </c>
      <c r="E166" s="43">
        <f t="shared" si="57"/>
        <v>372309.14999999997</v>
      </c>
      <c r="F166" s="43">
        <f>F167+F168</f>
        <v>32315.200000000001</v>
      </c>
      <c r="G166" s="43">
        <f t="shared" ref="G166:M166" si="65">G167+G168</f>
        <v>34632.800000000003</v>
      </c>
      <c r="H166" s="43">
        <f t="shared" si="65"/>
        <v>40485.349999999991</v>
      </c>
      <c r="I166" s="43">
        <f t="shared" si="65"/>
        <v>45475.599999999991</v>
      </c>
      <c r="J166" s="43">
        <f t="shared" si="65"/>
        <v>50569.300000000017</v>
      </c>
      <c r="K166" s="43">
        <f t="shared" si="65"/>
        <v>53241.599999999999</v>
      </c>
      <c r="L166" s="43">
        <f t="shared" si="65"/>
        <v>55019.7</v>
      </c>
      <c r="M166" s="43">
        <f t="shared" si="65"/>
        <v>60569.599999999999</v>
      </c>
      <c r="O166" s="46"/>
    </row>
    <row r="167" spans="1:15" ht="14.25" customHeight="1" x14ac:dyDescent="0.2">
      <c r="A167" s="136"/>
      <c r="B167" s="137"/>
      <c r="C167" s="138"/>
      <c r="D167" s="41" t="s">
        <v>11</v>
      </c>
      <c r="E167" s="43">
        <f t="shared" si="57"/>
        <v>372309.14999999997</v>
      </c>
      <c r="F167" s="43">
        <f>F164+F161+F158+F155+F152+F149+F146+F143</f>
        <v>32315.200000000001</v>
      </c>
      <c r="G167" s="43">
        <f t="shared" ref="G167:M167" si="66">G164+G161+G158+G155+G152+G149+G146+G143</f>
        <v>34632.800000000003</v>
      </c>
      <c r="H167" s="43">
        <f t="shared" si="66"/>
        <v>40485.349999999991</v>
      </c>
      <c r="I167" s="43">
        <f t="shared" si="66"/>
        <v>45475.599999999991</v>
      </c>
      <c r="J167" s="43">
        <f t="shared" si="66"/>
        <v>50569.300000000017</v>
      </c>
      <c r="K167" s="43">
        <f t="shared" si="66"/>
        <v>53241.599999999999</v>
      </c>
      <c r="L167" s="43">
        <f t="shared" si="66"/>
        <v>55019.7</v>
      </c>
      <c r="M167" s="43">
        <f t="shared" si="66"/>
        <v>60569.599999999999</v>
      </c>
      <c r="O167" s="46"/>
    </row>
    <row r="168" spans="1:15" ht="14.25" customHeight="1" x14ac:dyDescent="0.2">
      <c r="A168" s="139"/>
      <c r="B168" s="140"/>
      <c r="C168" s="141"/>
      <c r="D168" s="41" t="s">
        <v>10</v>
      </c>
      <c r="E168" s="43">
        <f t="shared" si="57"/>
        <v>0</v>
      </c>
      <c r="F168" s="43">
        <f>F165+F162+F159+F156+F153+F150+F147+F144</f>
        <v>0</v>
      </c>
      <c r="G168" s="43">
        <f t="shared" ref="G168:M168" si="67">G165+G162+G159+G156+G153+G150+G147+G144</f>
        <v>0</v>
      </c>
      <c r="H168" s="43">
        <f t="shared" si="67"/>
        <v>0</v>
      </c>
      <c r="I168" s="43">
        <f t="shared" si="67"/>
        <v>0</v>
      </c>
      <c r="J168" s="43">
        <f t="shared" si="67"/>
        <v>0</v>
      </c>
      <c r="K168" s="43">
        <f t="shared" si="67"/>
        <v>0</v>
      </c>
      <c r="L168" s="43">
        <f t="shared" si="67"/>
        <v>0</v>
      </c>
      <c r="M168" s="43">
        <f t="shared" si="67"/>
        <v>0</v>
      </c>
      <c r="N168" s="46"/>
      <c r="O168" s="46"/>
    </row>
    <row r="169" spans="1:15" ht="14.25" customHeight="1" x14ac:dyDescent="0.2">
      <c r="A169" s="143" t="s">
        <v>294</v>
      </c>
      <c r="B169" s="143"/>
      <c r="C169" s="143"/>
      <c r="D169" s="143"/>
      <c r="E169" s="143"/>
      <c r="F169" s="143"/>
      <c r="G169" s="143"/>
      <c r="H169" s="143"/>
      <c r="I169" s="143"/>
      <c r="J169" s="143"/>
      <c r="K169" s="143"/>
      <c r="L169" s="143"/>
      <c r="M169" s="143"/>
    </row>
    <row r="170" spans="1:15" ht="61.5" customHeight="1" x14ac:dyDescent="0.2">
      <c r="A170" s="115" t="s">
        <v>158</v>
      </c>
      <c r="B170" s="118" t="s">
        <v>69</v>
      </c>
      <c r="C170" s="121" t="s">
        <v>73</v>
      </c>
      <c r="D170" s="41" t="s">
        <v>109</v>
      </c>
      <c r="E170" s="43">
        <f>F170+G170+H170+I170+J170+K170+L170+M170</f>
        <v>6578.3</v>
      </c>
      <c r="F170" s="43">
        <f>F171+F172</f>
        <v>600</v>
      </c>
      <c r="G170" s="43">
        <f t="shared" ref="G170:M170" si="68">G171+G172</f>
        <v>630</v>
      </c>
      <c r="H170" s="43">
        <f t="shared" si="68"/>
        <v>661.5</v>
      </c>
      <c r="I170" s="43">
        <f t="shared" si="68"/>
        <v>27.2</v>
      </c>
      <c r="J170" s="43">
        <f t="shared" si="68"/>
        <v>0</v>
      </c>
      <c r="K170" s="43">
        <v>0</v>
      </c>
      <c r="L170" s="43">
        <f t="shared" si="68"/>
        <v>1796.2</v>
      </c>
      <c r="M170" s="43">
        <f t="shared" si="68"/>
        <v>2863.4</v>
      </c>
    </row>
    <row r="171" spans="1:15" ht="14.25" customHeight="1" x14ac:dyDescent="0.2">
      <c r="A171" s="116"/>
      <c r="B171" s="119"/>
      <c r="C171" s="122"/>
      <c r="D171" s="41" t="s">
        <v>11</v>
      </c>
      <c r="E171" s="43">
        <f t="shared" ref="E171:E229" si="69">F171+G171+H171+I171+J171+K171+L171+M171</f>
        <v>3004.3</v>
      </c>
      <c r="F171" s="43">
        <v>600</v>
      </c>
      <c r="G171" s="43">
        <v>630</v>
      </c>
      <c r="H171" s="43">
        <v>661.5</v>
      </c>
      <c r="I171" s="43">
        <v>27.2</v>
      </c>
      <c r="J171" s="43">
        <v>0</v>
      </c>
      <c r="K171" s="43">
        <v>0</v>
      </c>
      <c r="L171" s="43">
        <f>10.2+786</f>
        <v>796.2</v>
      </c>
      <c r="M171" s="43">
        <f>26+118.6+144.8</f>
        <v>289.39999999999998</v>
      </c>
    </row>
    <row r="172" spans="1:15" ht="14.25" customHeight="1" x14ac:dyDescent="0.2">
      <c r="A172" s="117"/>
      <c r="B172" s="120"/>
      <c r="C172" s="123"/>
      <c r="D172" s="41" t="s">
        <v>10</v>
      </c>
      <c r="E172" s="43">
        <f t="shared" si="69"/>
        <v>3574</v>
      </c>
      <c r="F172" s="43">
        <v>0</v>
      </c>
      <c r="G172" s="43">
        <v>0</v>
      </c>
      <c r="H172" s="43">
        <v>0</v>
      </c>
      <c r="I172" s="43">
        <v>0</v>
      </c>
      <c r="J172" s="43">
        <v>0</v>
      </c>
      <c r="K172" s="43">
        <v>0</v>
      </c>
      <c r="L172" s="43">
        <v>1000</v>
      </c>
      <c r="M172" s="43">
        <v>2574</v>
      </c>
    </row>
    <row r="173" spans="1:15" ht="14.25" customHeight="1" x14ac:dyDescent="0.2">
      <c r="A173" s="111" t="s">
        <v>159</v>
      </c>
      <c r="B173" s="112" t="s">
        <v>70</v>
      </c>
      <c r="C173" s="110" t="s">
        <v>293</v>
      </c>
      <c r="D173" s="41" t="s">
        <v>109</v>
      </c>
      <c r="E173" s="43">
        <f t="shared" si="69"/>
        <v>4198</v>
      </c>
      <c r="F173" s="43">
        <f>F174+F175</f>
        <v>4198</v>
      </c>
      <c r="G173" s="43">
        <f t="shared" ref="G173:M173" si="70">G174+G175</f>
        <v>0</v>
      </c>
      <c r="H173" s="43">
        <f t="shared" si="70"/>
        <v>0</v>
      </c>
      <c r="I173" s="43">
        <f t="shared" si="70"/>
        <v>0</v>
      </c>
      <c r="J173" s="43">
        <f>J174</f>
        <v>0</v>
      </c>
      <c r="K173" s="43">
        <f t="shared" ref="K173:L173" si="71">K174</f>
        <v>0</v>
      </c>
      <c r="L173" s="43">
        <f t="shared" si="71"/>
        <v>0</v>
      </c>
      <c r="M173" s="43">
        <f t="shared" si="70"/>
        <v>0</v>
      </c>
    </row>
    <row r="174" spans="1:15" ht="14.25" customHeight="1" x14ac:dyDescent="0.2">
      <c r="A174" s="111"/>
      <c r="B174" s="112"/>
      <c r="C174" s="110"/>
      <c r="D174" s="41" t="s">
        <v>11</v>
      </c>
      <c r="E174" s="43">
        <f t="shared" si="69"/>
        <v>480</v>
      </c>
      <c r="F174" s="43">
        <v>480</v>
      </c>
      <c r="G174" s="43">
        <v>0</v>
      </c>
      <c r="H174" s="43">
        <v>0</v>
      </c>
      <c r="I174" s="43">
        <v>0</v>
      </c>
      <c r="J174" s="43">
        <v>0</v>
      </c>
      <c r="K174" s="43">
        <v>0</v>
      </c>
      <c r="L174" s="43">
        <v>0</v>
      </c>
      <c r="M174" s="43">
        <v>0</v>
      </c>
    </row>
    <row r="175" spans="1:15" ht="14.25" customHeight="1" x14ac:dyDescent="0.2">
      <c r="A175" s="111"/>
      <c r="B175" s="112"/>
      <c r="C175" s="110"/>
      <c r="D175" s="41" t="s">
        <v>10</v>
      </c>
      <c r="E175" s="43">
        <f t="shared" si="69"/>
        <v>3718</v>
      </c>
      <c r="F175" s="43">
        <v>3718</v>
      </c>
      <c r="G175" s="43">
        <v>0</v>
      </c>
      <c r="H175" s="43">
        <v>0</v>
      </c>
      <c r="I175" s="43">
        <v>0</v>
      </c>
      <c r="J175" s="43">
        <v>0</v>
      </c>
      <c r="K175" s="43">
        <v>0</v>
      </c>
      <c r="L175" s="43">
        <v>0</v>
      </c>
      <c r="M175" s="43">
        <v>0</v>
      </c>
    </row>
    <row r="176" spans="1:15" ht="14.25" customHeight="1" x14ac:dyDescent="0.2">
      <c r="A176" s="115" t="s">
        <v>160</v>
      </c>
      <c r="B176" s="118" t="s">
        <v>71</v>
      </c>
      <c r="C176" s="121" t="s">
        <v>293</v>
      </c>
      <c r="D176" s="41" t="s">
        <v>109</v>
      </c>
      <c r="E176" s="43">
        <f t="shared" si="69"/>
        <v>1904.9</v>
      </c>
      <c r="F176" s="43">
        <f>F177+F178</f>
        <v>0</v>
      </c>
      <c r="G176" s="43">
        <f t="shared" ref="G176:L176" si="72">G177+G178</f>
        <v>50.5</v>
      </c>
      <c r="H176" s="43">
        <f t="shared" si="72"/>
        <v>0</v>
      </c>
      <c r="I176" s="43">
        <f t="shared" si="72"/>
        <v>462.9</v>
      </c>
      <c r="J176" s="43">
        <f t="shared" si="72"/>
        <v>793</v>
      </c>
      <c r="K176" s="43">
        <v>0</v>
      </c>
      <c r="L176" s="43">
        <f t="shared" si="72"/>
        <v>333.7</v>
      </c>
      <c r="M176" s="43">
        <f>M177</f>
        <v>264.8</v>
      </c>
    </row>
    <row r="177" spans="1:15" ht="14.25" customHeight="1" x14ac:dyDescent="0.2">
      <c r="A177" s="116"/>
      <c r="B177" s="119"/>
      <c r="C177" s="122"/>
      <c r="D177" s="41" t="s">
        <v>11</v>
      </c>
      <c r="E177" s="43">
        <f t="shared" si="69"/>
        <v>1904.9</v>
      </c>
      <c r="F177" s="43">
        <v>0</v>
      </c>
      <c r="G177" s="43">
        <v>50.5</v>
      </c>
      <c r="H177" s="43">
        <v>0</v>
      </c>
      <c r="I177" s="43">
        <v>462.9</v>
      </c>
      <c r="J177" s="43">
        <v>793</v>
      </c>
      <c r="K177" s="43">
        <v>0</v>
      </c>
      <c r="L177" s="43">
        <v>333.7</v>
      </c>
      <c r="M177" s="43">
        <f>264.8</f>
        <v>264.8</v>
      </c>
    </row>
    <row r="178" spans="1:15" ht="14.25" customHeight="1" x14ac:dyDescent="0.2">
      <c r="A178" s="117"/>
      <c r="B178" s="120"/>
      <c r="C178" s="123"/>
      <c r="D178" s="41" t="s">
        <v>10</v>
      </c>
      <c r="E178" s="43">
        <f t="shared" si="69"/>
        <v>0</v>
      </c>
      <c r="F178" s="43">
        <v>0</v>
      </c>
      <c r="G178" s="43">
        <v>0</v>
      </c>
      <c r="H178" s="43">
        <v>0</v>
      </c>
      <c r="I178" s="43">
        <v>0</v>
      </c>
      <c r="J178" s="43">
        <v>0</v>
      </c>
      <c r="K178" s="43">
        <v>0</v>
      </c>
      <c r="L178" s="43">
        <v>0</v>
      </c>
      <c r="M178" s="43">
        <v>0</v>
      </c>
    </row>
    <row r="179" spans="1:15" ht="23.25" customHeight="1" x14ac:dyDescent="0.2">
      <c r="A179" s="115" t="s">
        <v>161</v>
      </c>
      <c r="B179" s="118" t="s">
        <v>283</v>
      </c>
      <c r="C179" s="121" t="s">
        <v>295</v>
      </c>
      <c r="D179" s="41" t="s">
        <v>109</v>
      </c>
      <c r="E179" s="43">
        <f t="shared" si="69"/>
        <v>50</v>
      </c>
      <c r="F179" s="43">
        <f>F180+F181</f>
        <v>0</v>
      </c>
      <c r="G179" s="43">
        <f t="shared" ref="G179:M179" si="73">G180+G181</f>
        <v>0</v>
      </c>
      <c r="H179" s="43">
        <f t="shared" si="73"/>
        <v>50</v>
      </c>
      <c r="I179" s="43">
        <f t="shared" si="73"/>
        <v>0</v>
      </c>
      <c r="J179" s="43">
        <f t="shared" si="73"/>
        <v>0</v>
      </c>
      <c r="K179" s="43">
        <v>0</v>
      </c>
      <c r="L179" s="43">
        <v>0</v>
      </c>
      <c r="M179" s="43">
        <f t="shared" si="73"/>
        <v>0</v>
      </c>
    </row>
    <row r="180" spans="1:15" ht="14.25" customHeight="1" x14ac:dyDescent="0.2">
      <c r="A180" s="116"/>
      <c r="B180" s="119"/>
      <c r="C180" s="122"/>
      <c r="D180" s="41" t="s">
        <v>11</v>
      </c>
      <c r="E180" s="43">
        <f t="shared" si="69"/>
        <v>50</v>
      </c>
      <c r="F180" s="43">
        <v>0</v>
      </c>
      <c r="G180" s="43">
        <v>0</v>
      </c>
      <c r="H180" s="43">
        <v>50</v>
      </c>
      <c r="I180" s="43">
        <v>0</v>
      </c>
      <c r="J180" s="43">
        <v>0</v>
      </c>
      <c r="K180" s="43">
        <v>0</v>
      </c>
      <c r="L180" s="43">
        <v>0</v>
      </c>
      <c r="M180" s="43">
        <v>0</v>
      </c>
    </row>
    <row r="181" spans="1:15" ht="14.25" customHeight="1" x14ac:dyDescent="0.2">
      <c r="A181" s="117"/>
      <c r="B181" s="120"/>
      <c r="C181" s="123"/>
      <c r="D181" s="41" t="s">
        <v>10</v>
      </c>
      <c r="E181" s="43">
        <f t="shared" si="69"/>
        <v>0</v>
      </c>
      <c r="F181" s="43">
        <v>0</v>
      </c>
      <c r="G181" s="43">
        <v>0</v>
      </c>
      <c r="H181" s="48">
        <v>0</v>
      </c>
      <c r="I181" s="43">
        <v>0</v>
      </c>
      <c r="J181" s="43">
        <v>0</v>
      </c>
      <c r="K181" s="43">
        <v>0</v>
      </c>
      <c r="L181" s="43">
        <v>0</v>
      </c>
      <c r="M181" s="43">
        <v>0</v>
      </c>
    </row>
    <row r="182" spans="1:15" ht="23.25" customHeight="1" x14ac:dyDescent="0.2">
      <c r="A182" s="115" t="s">
        <v>162</v>
      </c>
      <c r="B182" s="118" t="s">
        <v>278</v>
      </c>
      <c r="C182" s="121" t="s">
        <v>295</v>
      </c>
      <c r="D182" s="41" t="s">
        <v>109</v>
      </c>
      <c r="E182" s="43">
        <f t="shared" si="69"/>
        <v>0</v>
      </c>
      <c r="F182" s="43">
        <f>F183+F184</f>
        <v>0</v>
      </c>
      <c r="G182" s="43">
        <f t="shared" ref="G182:M182" si="74">G183+G184</f>
        <v>0</v>
      </c>
      <c r="H182" s="43">
        <v>0</v>
      </c>
      <c r="I182" s="43">
        <f t="shared" si="74"/>
        <v>0</v>
      </c>
      <c r="J182" s="43">
        <f t="shared" si="74"/>
        <v>0</v>
      </c>
      <c r="K182" s="43">
        <v>0</v>
      </c>
      <c r="L182" s="43">
        <v>0</v>
      </c>
      <c r="M182" s="43">
        <f t="shared" si="74"/>
        <v>0</v>
      </c>
    </row>
    <row r="183" spans="1:15" ht="14.25" customHeight="1" x14ac:dyDescent="0.2">
      <c r="A183" s="116"/>
      <c r="B183" s="119"/>
      <c r="C183" s="122"/>
      <c r="D183" s="41" t="s">
        <v>11</v>
      </c>
      <c r="E183" s="43">
        <f t="shared" si="69"/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  <c r="K183" s="43">
        <v>0</v>
      </c>
      <c r="L183" s="43">
        <v>0</v>
      </c>
      <c r="M183" s="43">
        <v>0</v>
      </c>
    </row>
    <row r="184" spans="1:15" ht="14.25" customHeight="1" x14ac:dyDescent="0.2">
      <c r="A184" s="117"/>
      <c r="B184" s="120"/>
      <c r="C184" s="123"/>
      <c r="D184" s="41" t="s">
        <v>10</v>
      </c>
      <c r="E184" s="43">
        <f t="shared" si="69"/>
        <v>0</v>
      </c>
      <c r="F184" s="43">
        <v>0</v>
      </c>
      <c r="G184" s="43">
        <v>0</v>
      </c>
      <c r="H184" s="48">
        <v>0</v>
      </c>
      <c r="I184" s="43">
        <v>0</v>
      </c>
      <c r="J184" s="43">
        <v>0</v>
      </c>
      <c r="K184" s="43">
        <v>0</v>
      </c>
      <c r="L184" s="43">
        <v>0</v>
      </c>
      <c r="M184" s="43">
        <v>0</v>
      </c>
    </row>
    <row r="185" spans="1:15" ht="14.25" customHeight="1" x14ac:dyDescent="0.2">
      <c r="A185" s="115" t="s">
        <v>163</v>
      </c>
      <c r="B185" s="118" t="s">
        <v>315</v>
      </c>
      <c r="C185" s="121" t="s">
        <v>314</v>
      </c>
      <c r="D185" s="41" t="s">
        <v>109</v>
      </c>
      <c r="E185" s="43">
        <f t="shared" si="69"/>
        <v>220</v>
      </c>
      <c r="F185" s="43">
        <f t="shared" ref="F185:M185" si="75">F186+F187</f>
        <v>0</v>
      </c>
      <c r="G185" s="43">
        <f t="shared" si="75"/>
        <v>0</v>
      </c>
      <c r="H185" s="43">
        <f t="shared" si="75"/>
        <v>0</v>
      </c>
      <c r="I185" s="43">
        <f t="shared" si="75"/>
        <v>0</v>
      </c>
      <c r="J185" s="43">
        <f t="shared" si="75"/>
        <v>0</v>
      </c>
      <c r="K185" s="43">
        <f t="shared" si="75"/>
        <v>0</v>
      </c>
      <c r="L185" s="43">
        <f t="shared" si="75"/>
        <v>220</v>
      </c>
      <c r="M185" s="43">
        <f t="shared" si="75"/>
        <v>0</v>
      </c>
    </row>
    <row r="186" spans="1:15" ht="14.25" customHeight="1" x14ac:dyDescent="0.2">
      <c r="A186" s="116"/>
      <c r="B186" s="119"/>
      <c r="C186" s="122"/>
      <c r="D186" s="41" t="s">
        <v>11</v>
      </c>
      <c r="E186" s="43">
        <f t="shared" si="69"/>
        <v>220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  <c r="K186" s="43">
        <v>0</v>
      </c>
      <c r="L186" s="43">
        <v>220</v>
      </c>
      <c r="M186" s="43">
        <v>0</v>
      </c>
    </row>
    <row r="187" spans="1:15" ht="14.25" customHeight="1" x14ac:dyDescent="0.2">
      <c r="A187" s="117"/>
      <c r="B187" s="120"/>
      <c r="C187" s="123"/>
      <c r="D187" s="41" t="s">
        <v>10</v>
      </c>
      <c r="E187" s="43">
        <f t="shared" si="69"/>
        <v>0</v>
      </c>
      <c r="F187" s="43">
        <v>0</v>
      </c>
      <c r="G187" s="43">
        <v>0</v>
      </c>
      <c r="H187" s="48">
        <v>0</v>
      </c>
      <c r="I187" s="43">
        <v>0</v>
      </c>
      <c r="J187" s="43">
        <v>0</v>
      </c>
      <c r="K187" s="43">
        <v>0</v>
      </c>
      <c r="L187" s="43">
        <v>0</v>
      </c>
      <c r="M187" s="43">
        <v>0</v>
      </c>
    </row>
    <row r="188" spans="1:15" ht="18.75" customHeight="1" x14ac:dyDescent="0.2">
      <c r="A188" s="115" t="s">
        <v>164</v>
      </c>
      <c r="B188" s="118" t="s">
        <v>279</v>
      </c>
      <c r="C188" s="121" t="s">
        <v>192</v>
      </c>
      <c r="D188" s="41" t="s">
        <v>109</v>
      </c>
      <c r="E188" s="43">
        <f t="shared" si="69"/>
        <v>0</v>
      </c>
      <c r="F188" s="43">
        <f>F189+F190</f>
        <v>0</v>
      </c>
      <c r="G188" s="43">
        <f t="shared" ref="G188:M188" si="76">G189+G190</f>
        <v>0</v>
      </c>
      <c r="H188" s="43">
        <f t="shared" si="76"/>
        <v>0</v>
      </c>
      <c r="I188" s="43">
        <f t="shared" si="76"/>
        <v>0</v>
      </c>
      <c r="J188" s="43">
        <f t="shared" si="76"/>
        <v>0</v>
      </c>
      <c r="K188" s="43">
        <v>0</v>
      </c>
      <c r="L188" s="43">
        <f t="shared" si="76"/>
        <v>0</v>
      </c>
      <c r="M188" s="43">
        <f t="shared" si="76"/>
        <v>0</v>
      </c>
    </row>
    <row r="189" spans="1:15" ht="24" customHeight="1" x14ac:dyDescent="0.2">
      <c r="A189" s="116"/>
      <c r="B189" s="119"/>
      <c r="C189" s="122"/>
      <c r="D189" s="41" t="s">
        <v>11</v>
      </c>
      <c r="E189" s="43">
        <f t="shared" si="69"/>
        <v>0</v>
      </c>
      <c r="F189" s="43">
        <v>0</v>
      </c>
      <c r="G189" s="43">
        <v>0</v>
      </c>
      <c r="H189" s="48">
        <v>0</v>
      </c>
      <c r="I189" s="43">
        <v>0</v>
      </c>
      <c r="J189" s="43">
        <v>0</v>
      </c>
      <c r="K189" s="43">
        <v>0</v>
      </c>
      <c r="L189" s="43">
        <v>0</v>
      </c>
      <c r="M189" s="43">
        <v>0</v>
      </c>
    </row>
    <row r="190" spans="1:15" ht="41.25" customHeight="1" x14ac:dyDescent="0.2">
      <c r="A190" s="117"/>
      <c r="B190" s="120"/>
      <c r="C190" s="123"/>
      <c r="D190" s="41" t="s">
        <v>10</v>
      </c>
      <c r="E190" s="43">
        <f t="shared" si="69"/>
        <v>0</v>
      </c>
      <c r="F190" s="43">
        <v>0</v>
      </c>
      <c r="G190" s="43">
        <v>0</v>
      </c>
      <c r="H190" s="48">
        <v>0</v>
      </c>
      <c r="I190" s="43">
        <v>0</v>
      </c>
      <c r="J190" s="43">
        <v>0</v>
      </c>
      <c r="K190" s="43">
        <v>0</v>
      </c>
      <c r="L190" s="43">
        <v>0</v>
      </c>
      <c r="M190" s="43">
        <v>0</v>
      </c>
    </row>
    <row r="191" spans="1:15" ht="14.25" customHeight="1" x14ac:dyDescent="0.2">
      <c r="A191" s="115" t="s">
        <v>165</v>
      </c>
      <c r="B191" s="118" t="s">
        <v>72</v>
      </c>
      <c r="C191" s="121" t="s">
        <v>263</v>
      </c>
      <c r="D191" s="41" t="s">
        <v>109</v>
      </c>
      <c r="E191" s="43">
        <f t="shared" si="69"/>
        <v>0</v>
      </c>
      <c r="F191" s="43">
        <f>F192+F193</f>
        <v>0</v>
      </c>
      <c r="G191" s="43">
        <f t="shared" ref="G191:M191" si="77">G192+G193</f>
        <v>0</v>
      </c>
      <c r="H191" s="43">
        <f t="shared" si="77"/>
        <v>0</v>
      </c>
      <c r="I191" s="43">
        <f t="shared" si="77"/>
        <v>0</v>
      </c>
      <c r="J191" s="43">
        <f t="shared" si="77"/>
        <v>0</v>
      </c>
      <c r="K191" s="43">
        <f t="shared" si="77"/>
        <v>0</v>
      </c>
      <c r="L191" s="43">
        <f t="shared" si="77"/>
        <v>0</v>
      </c>
      <c r="M191" s="43">
        <f t="shared" si="77"/>
        <v>0</v>
      </c>
      <c r="O191" s="46"/>
    </row>
    <row r="192" spans="1:15" ht="14.25" customHeight="1" x14ac:dyDescent="0.2">
      <c r="A192" s="116"/>
      <c r="B192" s="119"/>
      <c r="C192" s="122"/>
      <c r="D192" s="41" t="s">
        <v>11</v>
      </c>
      <c r="E192" s="43">
        <f t="shared" si="69"/>
        <v>0</v>
      </c>
      <c r="F192" s="43">
        <v>0</v>
      </c>
      <c r="G192" s="43">
        <v>0</v>
      </c>
      <c r="H192" s="48">
        <v>0</v>
      </c>
      <c r="I192" s="43">
        <v>0</v>
      </c>
      <c r="J192" s="43">
        <v>0</v>
      </c>
      <c r="K192" s="43">
        <v>0</v>
      </c>
      <c r="L192" s="43">
        <v>0</v>
      </c>
      <c r="M192" s="43">
        <v>0</v>
      </c>
    </row>
    <row r="193" spans="1:13" ht="14.25" customHeight="1" x14ac:dyDescent="0.2">
      <c r="A193" s="117"/>
      <c r="B193" s="120"/>
      <c r="C193" s="123"/>
      <c r="D193" s="41" t="s">
        <v>10</v>
      </c>
      <c r="E193" s="43">
        <f t="shared" si="69"/>
        <v>0</v>
      </c>
      <c r="F193" s="43">
        <v>0</v>
      </c>
      <c r="G193" s="43">
        <v>0</v>
      </c>
      <c r="H193" s="48">
        <v>0</v>
      </c>
      <c r="I193" s="43">
        <v>0</v>
      </c>
      <c r="J193" s="43">
        <v>0</v>
      </c>
      <c r="K193" s="43">
        <v>0</v>
      </c>
      <c r="L193" s="43">
        <v>0</v>
      </c>
      <c r="M193" s="43">
        <v>0</v>
      </c>
    </row>
    <row r="194" spans="1:13" ht="24.75" customHeight="1" x14ac:dyDescent="0.2">
      <c r="A194" s="115" t="s">
        <v>166</v>
      </c>
      <c r="B194" s="118" t="s">
        <v>303</v>
      </c>
      <c r="C194" s="121" t="s">
        <v>192</v>
      </c>
      <c r="D194" s="41" t="s">
        <v>109</v>
      </c>
      <c r="E194" s="43">
        <f t="shared" si="69"/>
        <v>11429.7</v>
      </c>
      <c r="F194" s="43">
        <f>F195+F196</f>
        <v>8767.2000000000007</v>
      </c>
      <c r="G194" s="43">
        <f t="shared" ref="G194:M194" si="78">G195+G196</f>
        <v>1362.5</v>
      </c>
      <c r="H194" s="43">
        <f t="shared" si="78"/>
        <v>1300</v>
      </c>
      <c r="I194" s="43">
        <f t="shared" si="78"/>
        <v>0</v>
      </c>
      <c r="J194" s="43">
        <f t="shared" si="78"/>
        <v>0</v>
      </c>
      <c r="K194" s="43">
        <v>0</v>
      </c>
      <c r="L194" s="43">
        <f t="shared" si="78"/>
        <v>0</v>
      </c>
      <c r="M194" s="43">
        <f t="shared" si="78"/>
        <v>0</v>
      </c>
    </row>
    <row r="195" spans="1:13" ht="14.25" customHeight="1" x14ac:dyDescent="0.2">
      <c r="A195" s="116"/>
      <c r="B195" s="119"/>
      <c r="C195" s="122"/>
      <c r="D195" s="41" t="s">
        <v>11</v>
      </c>
      <c r="E195" s="43">
        <f t="shared" si="69"/>
        <v>1432.5</v>
      </c>
      <c r="F195" s="43">
        <v>70</v>
      </c>
      <c r="G195" s="43">
        <v>62.5</v>
      </c>
      <c r="H195" s="43">
        <v>1300</v>
      </c>
      <c r="I195" s="43">
        <v>0</v>
      </c>
      <c r="J195" s="43">
        <v>0</v>
      </c>
      <c r="K195" s="43">
        <v>0</v>
      </c>
      <c r="L195" s="43">
        <v>0</v>
      </c>
      <c r="M195" s="43">
        <v>0</v>
      </c>
    </row>
    <row r="196" spans="1:13" ht="14.25" customHeight="1" x14ac:dyDescent="0.2">
      <c r="A196" s="117"/>
      <c r="B196" s="120"/>
      <c r="C196" s="123"/>
      <c r="D196" s="41" t="s">
        <v>10</v>
      </c>
      <c r="E196" s="43">
        <f t="shared" si="69"/>
        <v>9997.2000000000007</v>
      </c>
      <c r="F196" s="43">
        <v>8697.2000000000007</v>
      </c>
      <c r="G196" s="43">
        <v>1300</v>
      </c>
      <c r="H196" s="43">
        <v>0</v>
      </c>
      <c r="I196" s="43">
        <v>0</v>
      </c>
      <c r="J196" s="43">
        <v>0</v>
      </c>
      <c r="K196" s="43">
        <v>0</v>
      </c>
      <c r="L196" s="43">
        <v>0</v>
      </c>
      <c r="M196" s="43">
        <v>0</v>
      </c>
    </row>
    <row r="197" spans="1:13" ht="14.25" customHeight="1" x14ac:dyDescent="0.2">
      <c r="A197" s="115" t="s">
        <v>167</v>
      </c>
      <c r="B197" s="118" t="s">
        <v>280</v>
      </c>
      <c r="C197" s="121" t="s">
        <v>281</v>
      </c>
      <c r="D197" s="41" t="s">
        <v>109</v>
      </c>
      <c r="E197" s="43">
        <f t="shared" si="69"/>
        <v>949.9</v>
      </c>
      <c r="F197" s="43">
        <f>F198+F199</f>
        <v>949.9</v>
      </c>
      <c r="G197" s="43">
        <f t="shared" ref="G197:M197" si="79">G198+G199</f>
        <v>0</v>
      </c>
      <c r="H197" s="43">
        <f t="shared" si="79"/>
        <v>0</v>
      </c>
      <c r="I197" s="43">
        <f t="shared" si="79"/>
        <v>0</v>
      </c>
      <c r="J197" s="43">
        <f t="shared" si="79"/>
        <v>0</v>
      </c>
      <c r="K197" s="43">
        <f t="shared" si="79"/>
        <v>0</v>
      </c>
      <c r="L197" s="43">
        <f t="shared" si="79"/>
        <v>0</v>
      </c>
      <c r="M197" s="43">
        <f t="shared" si="79"/>
        <v>0</v>
      </c>
    </row>
    <row r="198" spans="1:13" ht="14.25" customHeight="1" x14ac:dyDescent="0.2">
      <c r="A198" s="116"/>
      <c r="B198" s="119"/>
      <c r="C198" s="122"/>
      <c r="D198" s="41" t="s">
        <v>11</v>
      </c>
      <c r="E198" s="43">
        <f t="shared" si="69"/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  <c r="K198" s="43">
        <v>0</v>
      </c>
      <c r="L198" s="43">
        <v>0</v>
      </c>
      <c r="M198" s="43">
        <v>0</v>
      </c>
    </row>
    <row r="199" spans="1:13" ht="14.25" customHeight="1" x14ac:dyDescent="0.2">
      <c r="A199" s="117"/>
      <c r="B199" s="120"/>
      <c r="C199" s="123"/>
      <c r="D199" s="41" t="s">
        <v>10</v>
      </c>
      <c r="E199" s="43">
        <f t="shared" si="69"/>
        <v>949.9</v>
      </c>
      <c r="F199" s="43">
        <v>949.9</v>
      </c>
      <c r="G199" s="43">
        <v>0</v>
      </c>
      <c r="H199" s="43">
        <v>0</v>
      </c>
      <c r="I199" s="43">
        <v>0</v>
      </c>
      <c r="J199" s="43">
        <v>0</v>
      </c>
      <c r="K199" s="43">
        <v>0</v>
      </c>
      <c r="L199" s="43">
        <v>0</v>
      </c>
      <c r="M199" s="43">
        <v>0</v>
      </c>
    </row>
    <row r="200" spans="1:13" ht="14.25" customHeight="1" x14ac:dyDescent="0.2">
      <c r="A200" s="115" t="s">
        <v>168</v>
      </c>
      <c r="B200" s="118" t="s">
        <v>243</v>
      </c>
      <c r="C200" s="121" t="s">
        <v>253</v>
      </c>
      <c r="D200" s="41" t="s">
        <v>109</v>
      </c>
      <c r="E200" s="43">
        <f t="shared" si="69"/>
        <v>1386.7</v>
      </c>
      <c r="F200" s="43">
        <f>F201+F202</f>
        <v>1386.7</v>
      </c>
      <c r="G200" s="43">
        <f t="shared" ref="G200:K200" si="80">G201+G202</f>
        <v>0</v>
      </c>
      <c r="H200" s="43">
        <f t="shared" si="80"/>
        <v>0</v>
      </c>
      <c r="I200" s="43">
        <f t="shared" si="80"/>
        <v>0</v>
      </c>
      <c r="J200" s="43">
        <f t="shared" si="80"/>
        <v>0</v>
      </c>
      <c r="K200" s="43">
        <f t="shared" si="80"/>
        <v>0</v>
      </c>
      <c r="L200" s="43">
        <v>0</v>
      </c>
      <c r="M200" s="43">
        <f>M201+M202</f>
        <v>0</v>
      </c>
    </row>
    <row r="201" spans="1:13" ht="14.25" customHeight="1" x14ac:dyDescent="0.2">
      <c r="A201" s="116"/>
      <c r="B201" s="119"/>
      <c r="C201" s="122"/>
      <c r="D201" s="41" t="s">
        <v>11</v>
      </c>
      <c r="E201" s="43">
        <f t="shared" si="69"/>
        <v>186.7</v>
      </c>
      <c r="F201" s="43">
        <v>186.7</v>
      </c>
      <c r="G201" s="43">
        <v>0</v>
      </c>
      <c r="H201" s="43">
        <v>0</v>
      </c>
      <c r="I201" s="43">
        <v>0</v>
      </c>
      <c r="J201" s="43">
        <v>0</v>
      </c>
      <c r="K201" s="43">
        <v>0</v>
      </c>
      <c r="L201" s="43">
        <v>0</v>
      </c>
      <c r="M201" s="43">
        <v>0</v>
      </c>
    </row>
    <row r="202" spans="1:13" ht="14.25" customHeight="1" x14ac:dyDescent="0.2">
      <c r="A202" s="117"/>
      <c r="B202" s="120"/>
      <c r="C202" s="123"/>
      <c r="D202" s="41" t="s">
        <v>10</v>
      </c>
      <c r="E202" s="43">
        <f t="shared" si="69"/>
        <v>1200</v>
      </c>
      <c r="F202" s="43">
        <v>1200</v>
      </c>
      <c r="G202" s="43">
        <v>0</v>
      </c>
      <c r="H202" s="43">
        <v>0</v>
      </c>
      <c r="I202" s="43">
        <v>0</v>
      </c>
      <c r="J202" s="43">
        <v>0</v>
      </c>
      <c r="K202" s="43">
        <v>0</v>
      </c>
      <c r="L202" s="43">
        <v>0</v>
      </c>
      <c r="M202" s="43">
        <v>0</v>
      </c>
    </row>
    <row r="203" spans="1:13" ht="40.5" customHeight="1" x14ac:dyDescent="0.2">
      <c r="A203" s="115" t="s">
        <v>169</v>
      </c>
      <c r="B203" s="118" t="s">
        <v>258</v>
      </c>
      <c r="C203" s="121" t="s">
        <v>251</v>
      </c>
      <c r="D203" s="41" t="s">
        <v>109</v>
      </c>
      <c r="E203" s="43">
        <f t="shared" si="69"/>
        <v>5419.4</v>
      </c>
      <c r="F203" s="43">
        <f>F204+F205</f>
        <v>0</v>
      </c>
      <c r="G203" s="43">
        <f>G204+G205</f>
        <v>0</v>
      </c>
      <c r="H203" s="43">
        <f t="shared" ref="H203:M203" si="81">H204+H205</f>
        <v>5419.4</v>
      </c>
      <c r="I203" s="43">
        <f t="shared" si="81"/>
        <v>0</v>
      </c>
      <c r="J203" s="43">
        <f t="shared" si="81"/>
        <v>0</v>
      </c>
      <c r="K203" s="43">
        <f t="shared" si="81"/>
        <v>0</v>
      </c>
      <c r="L203" s="43">
        <f t="shared" si="81"/>
        <v>0</v>
      </c>
      <c r="M203" s="43">
        <f t="shared" si="81"/>
        <v>0</v>
      </c>
    </row>
    <row r="204" spans="1:13" ht="14.25" customHeight="1" x14ac:dyDescent="0.2">
      <c r="A204" s="116"/>
      <c r="B204" s="119"/>
      <c r="C204" s="122"/>
      <c r="D204" s="41" t="s">
        <v>11</v>
      </c>
      <c r="E204" s="43">
        <f t="shared" si="69"/>
        <v>5419.4</v>
      </c>
      <c r="F204" s="43">
        <v>0</v>
      </c>
      <c r="G204" s="43">
        <v>0</v>
      </c>
      <c r="H204" s="43">
        <v>5419.4</v>
      </c>
      <c r="I204" s="43">
        <v>0</v>
      </c>
      <c r="J204" s="43">
        <v>0</v>
      </c>
      <c r="K204" s="43">
        <v>0</v>
      </c>
      <c r="L204" s="43">
        <v>0</v>
      </c>
      <c r="M204" s="43">
        <v>0</v>
      </c>
    </row>
    <row r="205" spans="1:13" ht="14.25" customHeight="1" x14ac:dyDescent="0.2">
      <c r="A205" s="117"/>
      <c r="B205" s="120"/>
      <c r="C205" s="123"/>
      <c r="D205" s="41" t="s">
        <v>10</v>
      </c>
      <c r="E205" s="43">
        <f t="shared" si="69"/>
        <v>0</v>
      </c>
      <c r="F205" s="43">
        <v>0</v>
      </c>
      <c r="G205" s="43">
        <v>0</v>
      </c>
      <c r="H205" s="43">
        <v>0</v>
      </c>
      <c r="I205" s="43">
        <v>0</v>
      </c>
      <c r="J205" s="43">
        <v>0</v>
      </c>
      <c r="K205" s="43">
        <v>0</v>
      </c>
      <c r="L205" s="43">
        <v>0</v>
      </c>
      <c r="M205" s="43">
        <v>0</v>
      </c>
    </row>
    <row r="206" spans="1:13" ht="26.25" customHeight="1" x14ac:dyDescent="0.2">
      <c r="A206" s="115" t="s">
        <v>222</v>
      </c>
      <c r="B206" s="118" t="s">
        <v>259</v>
      </c>
      <c r="C206" s="121" t="s">
        <v>296</v>
      </c>
      <c r="D206" s="41" t="s">
        <v>109</v>
      </c>
      <c r="E206" s="43">
        <f t="shared" si="69"/>
        <v>6245.7000000000007</v>
      </c>
      <c r="F206" s="43">
        <f>F207+F208</f>
        <v>0</v>
      </c>
      <c r="G206" s="43">
        <f>G207+G208</f>
        <v>0</v>
      </c>
      <c r="H206" s="43">
        <f t="shared" ref="H206:M206" si="82">H207+H208</f>
        <v>0</v>
      </c>
      <c r="I206" s="43">
        <f t="shared" si="82"/>
        <v>0</v>
      </c>
      <c r="J206" s="43">
        <f t="shared" si="82"/>
        <v>972.6</v>
      </c>
      <c r="K206" s="43">
        <f t="shared" si="82"/>
        <v>535.20000000000005</v>
      </c>
      <c r="L206" s="43">
        <f t="shared" si="82"/>
        <v>2749.4</v>
      </c>
      <c r="M206" s="43">
        <f t="shared" si="82"/>
        <v>1988.5</v>
      </c>
    </row>
    <row r="207" spans="1:13" ht="14.25" customHeight="1" x14ac:dyDescent="0.2">
      <c r="A207" s="116"/>
      <c r="B207" s="119"/>
      <c r="C207" s="122"/>
      <c r="D207" s="41" t="s">
        <v>11</v>
      </c>
      <c r="E207" s="43">
        <f t="shared" si="69"/>
        <v>6245.7000000000007</v>
      </c>
      <c r="F207" s="43">
        <v>0</v>
      </c>
      <c r="G207" s="43">
        <v>0</v>
      </c>
      <c r="H207" s="43">
        <v>0</v>
      </c>
      <c r="I207" s="43">
        <v>0</v>
      </c>
      <c r="J207" s="43">
        <v>972.6</v>
      </c>
      <c r="K207" s="43">
        <f>129.2+406</f>
        <v>535.20000000000005</v>
      </c>
      <c r="L207" s="43">
        <f>2437+532.4-220</f>
        <v>2749.4</v>
      </c>
      <c r="M207" s="43">
        <f>258.38+549.5+887.72+292.9</f>
        <v>1988.5</v>
      </c>
    </row>
    <row r="208" spans="1:13" ht="14.25" customHeight="1" x14ac:dyDescent="0.2">
      <c r="A208" s="117"/>
      <c r="B208" s="120"/>
      <c r="C208" s="123"/>
      <c r="D208" s="41" t="s">
        <v>10</v>
      </c>
      <c r="E208" s="43">
        <f t="shared" si="69"/>
        <v>0</v>
      </c>
      <c r="F208" s="43">
        <v>0</v>
      </c>
      <c r="G208" s="43">
        <v>0</v>
      </c>
      <c r="H208" s="43">
        <v>0</v>
      </c>
      <c r="I208" s="43">
        <v>0</v>
      </c>
      <c r="J208" s="43">
        <v>0</v>
      </c>
      <c r="K208" s="43">
        <v>0</v>
      </c>
      <c r="L208" s="43">
        <v>0</v>
      </c>
      <c r="M208" s="43">
        <v>0</v>
      </c>
    </row>
    <row r="209" spans="1:14" ht="24.75" customHeight="1" x14ac:dyDescent="0.2">
      <c r="A209" s="115" t="s">
        <v>223</v>
      </c>
      <c r="B209" s="118" t="s">
        <v>276</v>
      </c>
      <c r="C209" s="121" t="s">
        <v>295</v>
      </c>
      <c r="D209" s="41" t="s">
        <v>109</v>
      </c>
      <c r="E209" s="43">
        <f t="shared" si="69"/>
        <v>1760.4</v>
      </c>
      <c r="F209" s="43">
        <f>F210+F211</f>
        <v>0</v>
      </c>
      <c r="G209" s="43">
        <f>G210+G211</f>
        <v>0</v>
      </c>
      <c r="H209" s="43">
        <f t="shared" ref="H209:M209" si="83">H210+H211</f>
        <v>0</v>
      </c>
      <c r="I209" s="43">
        <f t="shared" si="83"/>
        <v>0</v>
      </c>
      <c r="J209" s="43">
        <f t="shared" si="83"/>
        <v>371.7</v>
      </c>
      <c r="K209" s="43">
        <f t="shared" si="83"/>
        <v>1388.7</v>
      </c>
      <c r="L209" s="43">
        <f t="shared" si="83"/>
        <v>0</v>
      </c>
      <c r="M209" s="43">
        <f t="shared" si="83"/>
        <v>0</v>
      </c>
    </row>
    <row r="210" spans="1:14" ht="14.25" customHeight="1" x14ac:dyDescent="0.2">
      <c r="A210" s="116"/>
      <c r="B210" s="119"/>
      <c r="C210" s="122"/>
      <c r="D210" s="41" t="s">
        <v>11</v>
      </c>
      <c r="E210" s="43">
        <f t="shared" si="69"/>
        <v>1760.4</v>
      </c>
      <c r="F210" s="43">
        <v>0</v>
      </c>
      <c r="G210" s="43">
        <v>0</v>
      </c>
      <c r="H210" s="43">
        <v>0</v>
      </c>
      <c r="I210" s="43">
        <v>0</v>
      </c>
      <c r="J210" s="43">
        <v>371.7</v>
      </c>
      <c r="K210" s="43">
        <v>1388.7</v>
      </c>
      <c r="L210" s="43">
        <v>0</v>
      </c>
      <c r="M210" s="43">
        <v>0</v>
      </c>
    </row>
    <row r="211" spans="1:14" ht="14.25" customHeight="1" x14ac:dyDescent="0.2">
      <c r="A211" s="117"/>
      <c r="B211" s="120"/>
      <c r="C211" s="123"/>
      <c r="D211" s="41" t="s">
        <v>10</v>
      </c>
      <c r="E211" s="43">
        <f t="shared" si="69"/>
        <v>0</v>
      </c>
      <c r="F211" s="43">
        <v>0</v>
      </c>
      <c r="G211" s="43">
        <v>0</v>
      </c>
      <c r="H211" s="43">
        <v>0</v>
      </c>
      <c r="I211" s="43">
        <v>0</v>
      </c>
      <c r="J211" s="43">
        <v>0</v>
      </c>
      <c r="K211" s="43">
        <v>0</v>
      </c>
      <c r="L211" s="43">
        <v>0</v>
      </c>
      <c r="M211" s="43">
        <v>0</v>
      </c>
    </row>
    <row r="212" spans="1:14" ht="20.25" customHeight="1" x14ac:dyDescent="0.2">
      <c r="A212" s="115" t="s">
        <v>224</v>
      </c>
      <c r="B212" s="118" t="s">
        <v>260</v>
      </c>
      <c r="C212" s="121" t="s">
        <v>289</v>
      </c>
      <c r="D212" s="41" t="s">
        <v>109</v>
      </c>
      <c r="E212" s="43">
        <f t="shared" si="69"/>
        <v>362</v>
      </c>
      <c r="F212" s="43">
        <f>F213+F214</f>
        <v>0</v>
      </c>
      <c r="G212" s="43">
        <f>G213+G214</f>
        <v>0</v>
      </c>
      <c r="H212" s="43">
        <f t="shared" ref="H212:M212" si="84">H213+H214</f>
        <v>0</v>
      </c>
      <c r="I212" s="43">
        <f t="shared" si="84"/>
        <v>0</v>
      </c>
      <c r="J212" s="43">
        <f t="shared" si="84"/>
        <v>362</v>
      </c>
      <c r="K212" s="43">
        <f t="shared" si="84"/>
        <v>0</v>
      </c>
      <c r="L212" s="43">
        <f t="shared" si="84"/>
        <v>0</v>
      </c>
      <c r="M212" s="43">
        <f t="shared" si="84"/>
        <v>0</v>
      </c>
    </row>
    <row r="213" spans="1:14" ht="14.25" customHeight="1" x14ac:dyDescent="0.2">
      <c r="A213" s="116"/>
      <c r="B213" s="119"/>
      <c r="C213" s="122"/>
      <c r="D213" s="41" t="s">
        <v>11</v>
      </c>
      <c r="E213" s="43">
        <f t="shared" si="69"/>
        <v>362</v>
      </c>
      <c r="F213" s="43">
        <v>0</v>
      </c>
      <c r="G213" s="43">
        <v>0</v>
      </c>
      <c r="H213" s="43">
        <v>0</v>
      </c>
      <c r="I213" s="43">
        <v>0</v>
      </c>
      <c r="J213" s="43">
        <v>362</v>
      </c>
      <c r="K213" s="43">
        <v>0</v>
      </c>
      <c r="L213" s="43">
        <v>0</v>
      </c>
      <c r="M213" s="43">
        <v>0</v>
      </c>
    </row>
    <row r="214" spans="1:14" ht="14.25" customHeight="1" x14ac:dyDescent="0.2">
      <c r="A214" s="116"/>
      <c r="B214" s="119"/>
      <c r="C214" s="122"/>
      <c r="D214" s="42" t="s">
        <v>10</v>
      </c>
      <c r="E214" s="43">
        <f t="shared" si="69"/>
        <v>0</v>
      </c>
      <c r="F214" s="50">
        <v>0</v>
      </c>
      <c r="G214" s="50">
        <v>0</v>
      </c>
      <c r="H214" s="50">
        <v>0</v>
      </c>
      <c r="I214" s="50">
        <v>0</v>
      </c>
      <c r="J214" s="50">
        <v>0</v>
      </c>
      <c r="K214" s="50">
        <v>0</v>
      </c>
      <c r="L214" s="50">
        <v>0</v>
      </c>
      <c r="M214" s="50">
        <v>0</v>
      </c>
    </row>
    <row r="215" spans="1:14" ht="14.25" customHeight="1" x14ac:dyDescent="0.2">
      <c r="A215" s="111" t="s">
        <v>287</v>
      </c>
      <c r="B215" s="112" t="s">
        <v>307</v>
      </c>
      <c r="C215" s="110" t="s">
        <v>293</v>
      </c>
      <c r="D215" s="41" t="s">
        <v>109</v>
      </c>
      <c r="E215" s="43">
        <f t="shared" si="69"/>
        <v>2800</v>
      </c>
      <c r="F215" s="43">
        <f t="shared" ref="F215:M215" si="85">F216+F217</f>
        <v>0</v>
      </c>
      <c r="G215" s="43">
        <f t="shared" si="85"/>
        <v>0</v>
      </c>
      <c r="H215" s="43">
        <f t="shared" si="85"/>
        <v>0</v>
      </c>
      <c r="I215" s="43">
        <f t="shared" si="85"/>
        <v>0</v>
      </c>
      <c r="J215" s="43">
        <f t="shared" si="85"/>
        <v>0</v>
      </c>
      <c r="K215" s="43">
        <f t="shared" si="85"/>
        <v>2800</v>
      </c>
      <c r="L215" s="43">
        <f t="shared" si="85"/>
        <v>0</v>
      </c>
      <c r="M215" s="43">
        <f t="shared" si="85"/>
        <v>0</v>
      </c>
      <c r="N215" s="51"/>
    </row>
    <row r="216" spans="1:14" ht="14.25" customHeight="1" x14ac:dyDescent="0.2">
      <c r="A216" s="111"/>
      <c r="B216" s="112"/>
      <c r="C216" s="110"/>
      <c r="D216" s="41" t="s">
        <v>11</v>
      </c>
      <c r="E216" s="43">
        <f t="shared" si="69"/>
        <v>2800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  <c r="K216" s="43">
        <v>2800</v>
      </c>
      <c r="L216" s="43">
        <v>0</v>
      </c>
      <c r="M216" s="43">
        <v>0</v>
      </c>
      <c r="N216" s="51"/>
    </row>
    <row r="217" spans="1:14" ht="14.25" customHeight="1" x14ac:dyDescent="0.2">
      <c r="A217" s="111"/>
      <c r="B217" s="112"/>
      <c r="C217" s="110"/>
      <c r="D217" s="41" t="s">
        <v>10</v>
      </c>
      <c r="E217" s="43">
        <f t="shared" si="69"/>
        <v>0</v>
      </c>
      <c r="F217" s="43">
        <v>0</v>
      </c>
      <c r="G217" s="43">
        <v>0</v>
      </c>
      <c r="H217" s="43">
        <v>0</v>
      </c>
      <c r="I217" s="43">
        <v>0</v>
      </c>
      <c r="J217" s="43">
        <v>0</v>
      </c>
      <c r="K217" s="43">
        <v>0</v>
      </c>
      <c r="L217" s="43">
        <v>0</v>
      </c>
      <c r="M217" s="43">
        <v>0</v>
      </c>
      <c r="N217" s="51"/>
    </row>
    <row r="218" spans="1:14" ht="14.25" customHeight="1" x14ac:dyDescent="0.2">
      <c r="A218" s="111" t="s">
        <v>308</v>
      </c>
      <c r="B218" s="112" t="s">
        <v>309</v>
      </c>
      <c r="C218" s="110" t="s">
        <v>293</v>
      </c>
      <c r="D218" s="41" t="s">
        <v>109</v>
      </c>
      <c r="E218" s="43">
        <f t="shared" si="69"/>
        <v>1550.1000000000001</v>
      </c>
      <c r="F218" s="43">
        <f>F219+F220</f>
        <v>0</v>
      </c>
      <c r="G218" s="43">
        <f t="shared" ref="G218:I218" si="86">G219+G220</f>
        <v>0</v>
      </c>
      <c r="H218" s="43">
        <f t="shared" si="86"/>
        <v>0</v>
      </c>
      <c r="I218" s="43">
        <f t="shared" si="86"/>
        <v>0</v>
      </c>
      <c r="J218" s="43">
        <f>J219</f>
        <v>0</v>
      </c>
      <c r="K218" s="43">
        <f t="shared" ref="K218:L218" si="87">K219</f>
        <v>0</v>
      </c>
      <c r="L218" s="43">
        <f t="shared" si="87"/>
        <v>177.5</v>
      </c>
      <c r="M218" s="43">
        <f t="shared" ref="M218" si="88">M219+M220</f>
        <v>1372.6000000000001</v>
      </c>
      <c r="N218" s="51"/>
    </row>
    <row r="219" spans="1:14" ht="14.25" customHeight="1" x14ac:dyDescent="0.2">
      <c r="A219" s="111"/>
      <c r="B219" s="112"/>
      <c r="C219" s="110"/>
      <c r="D219" s="41" t="s">
        <v>11</v>
      </c>
      <c r="E219" s="43">
        <f t="shared" si="69"/>
        <v>1550.1000000000001</v>
      </c>
      <c r="F219" s="43">
        <v>0</v>
      </c>
      <c r="G219" s="43">
        <v>0</v>
      </c>
      <c r="H219" s="43">
        <v>0</v>
      </c>
      <c r="I219" s="43">
        <v>0</v>
      </c>
      <c r="J219" s="43">
        <v>0</v>
      </c>
      <c r="K219" s="43">
        <v>0</v>
      </c>
      <c r="L219" s="43">
        <v>177.5</v>
      </c>
      <c r="M219" s="43">
        <f>1637.4-264.8</f>
        <v>1372.6000000000001</v>
      </c>
      <c r="N219" s="51"/>
    </row>
    <row r="220" spans="1:14" ht="14.25" customHeight="1" x14ac:dyDescent="0.2">
      <c r="A220" s="111"/>
      <c r="B220" s="112"/>
      <c r="C220" s="110"/>
      <c r="D220" s="41" t="s">
        <v>10</v>
      </c>
      <c r="E220" s="43">
        <f t="shared" si="69"/>
        <v>0</v>
      </c>
      <c r="F220" s="43">
        <v>0</v>
      </c>
      <c r="G220" s="43">
        <v>0</v>
      </c>
      <c r="H220" s="43">
        <v>0</v>
      </c>
      <c r="I220" s="43">
        <v>0</v>
      </c>
      <c r="J220" s="43">
        <v>0</v>
      </c>
      <c r="K220" s="43">
        <v>0</v>
      </c>
      <c r="L220" s="43">
        <v>0</v>
      </c>
      <c r="M220" s="43">
        <v>0</v>
      </c>
      <c r="N220" s="51"/>
    </row>
    <row r="221" spans="1:14" ht="25.5" customHeight="1" x14ac:dyDescent="0.2">
      <c r="A221" s="115" t="s">
        <v>310</v>
      </c>
      <c r="B221" s="112" t="s">
        <v>312</v>
      </c>
      <c r="C221" s="110" t="s">
        <v>311</v>
      </c>
      <c r="D221" s="41" t="s">
        <v>109</v>
      </c>
      <c r="E221" s="43">
        <f t="shared" si="69"/>
        <v>1031.3</v>
      </c>
      <c r="F221" s="43">
        <f t="shared" ref="F221:M221" si="89">F222+F223</f>
        <v>0</v>
      </c>
      <c r="G221" s="43">
        <f t="shared" si="89"/>
        <v>0</v>
      </c>
      <c r="H221" s="43">
        <f t="shared" si="89"/>
        <v>0</v>
      </c>
      <c r="I221" s="43">
        <f t="shared" si="89"/>
        <v>0</v>
      </c>
      <c r="J221" s="43">
        <f t="shared" si="89"/>
        <v>0</v>
      </c>
      <c r="K221" s="43">
        <f t="shared" si="89"/>
        <v>0</v>
      </c>
      <c r="L221" s="43">
        <f t="shared" si="89"/>
        <v>1031.3</v>
      </c>
      <c r="M221" s="43">
        <f t="shared" si="89"/>
        <v>0</v>
      </c>
      <c r="N221" s="51"/>
    </row>
    <row r="222" spans="1:14" ht="14.25" customHeight="1" x14ac:dyDescent="0.2">
      <c r="A222" s="116"/>
      <c r="B222" s="112"/>
      <c r="C222" s="110"/>
      <c r="D222" s="41" t="s">
        <v>11</v>
      </c>
      <c r="E222" s="43">
        <f t="shared" si="69"/>
        <v>1031.3</v>
      </c>
      <c r="F222" s="43">
        <v>0</v>
      </c>
      <c r="G222" s="43">
        <v>0</v>
      </c>
      <c r="H222" s="43">
        <v>0</v>
      </c>
      <c r="I222" s="43">
        <v>0</v>
      </c>
      <c r="J222" s="43">
        <v>0</v>
      </c>
      <c r="K222" s="43">
        <v>0</v>
      </c>
      <c r="L222" s="43">
        <v>1031.3</v>
      </c>
      <c r="M222" s="43">
        <v>0</v>
      </c>
      <c r="N222" s="51"/>
    </row>
    <row r="223" spans="1:14" ht="14.25" customHeight="1" x14ac:dyDescent="0.2">
      <c r="A223" s="117"/>
      <c r="B223" s="112"/>
      <c r="C223" s="110"/>
      <c r="D223" s="41" t="s">
        <v>10</v>
      </c>
      <c r="E223" s="43">
        <f t="shared" si="69"/>
        <v>0</v>
      </c>
      <c r="F223" s="43">
        <v>0</v>
      </c>
      <c r="G223" s="43">
        <v>0</v>
      </c>
      <c r="H223" s="43">
        <v>0</v>
      </c>
      <c r="I223" s="43">
        <v>0</v>
      </c>
      <c r="J223" s="43">
        <v>0</v>
      </c>
      <c r="K223" s="43">
        <v>0</v>
      </c>
      <c r="L223" s="43">
        <v>0</v>
      </c>
      <c r="M223" s="43">
        <v>0</v>
      </c>
      <c r="N223" s="51"/>
    </row>
    <row r="224" spans="1:14" ht="14.25" customHeight="1" x14ac:dyDescent="0.2">
      <c r="A224" s="111" t="s">
        <v>316</v>
      </c>
      <c r="B224" s="112" t="s">
        <v>317</v>
      </c>
      <c r="C224" s="110" t="s">
        <v>293</v>
      </c>
      <c r="D224" s="41" t="s">
        <v>109</v>
      </c>
      <c r="E224" s="43">
        <f t="shared" si="69"/>
        <v>1254.8</v>
      </c>
      <c r="F224" s="43">
        <f t="shared" ref="F224:M224" si="90">F225+F226</f>
        <v>0</v>
      </c>
      <c r="G224" s="43">
        <f t="shared" si="90"/>
        <v>0</v>
      </c>
      <c r="H224" s="43">
        <f t="shared" si="90"/>
        <v>0</v>
      </c>
      <c r="I224" s="43">
        <f t="shared" si="90"/>
        <v>0</v>
      </c>
      <c r="J224" s="43">
        <f t="shared" si="90"/>
        <v>0</v>
      </c>
      <c r="K224" s="43">
        <f t="shared" si="90"/>
        <v>0</v>
      </c>
      <c r="L224" s="43">
        <f t="shared" si="90"/>
        <v>171</v>
      </c>
      <c r="M224" s="43">
        <f t="shared" si="90"/>
        <v>1083.8</v>
      </c>
      <c r="N224" s="51"/>
    </row>
    <row r="225" spans="1:15" ht="14.25" customHeight="1" x14ac:dyDescent="0.2">
      <c r="A225" s="111"/>
      <c r="B225" s="112"/>
      <c r="C225" s="110"/>
      <c r="D225" s="41" t="s">
        <v>11</v>
      </c>
      <c r="E225" s="43">
        <f t="shared" si="69"/>
        <v>1254.8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  <c r="K225" s="43">
        <v>0</v>
      </c>
      <c r="L225" s="43">
        <v>171</v>
      </c>
      <c r="M225" s="43">
        <v>1083.8</v>
      </c>
      <c r="N225" s="51"/>
    </row>
    <row r="226" spans="1:15" ht="14.25" customHeight="1" x14ac:dyDescent="0.2">
      <c r="A226" s="111"/>
      <c r="B226" s="112"/>
      <c r="C226" s="110"/>
      <c r="D226" s="41" t="s">
        <v>10</v>
      </c>
      <c r="E226" s="43">
        <f t="shared" si="69"/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  <c r="K226" s="43">
        <v>0</v>
      </c>
      <c r="L226" s="43">
        <v>0</v>
      </c>
      <c r="M226" s="43">
        <v>0</v>
      </c>
      <c r="N226" s="51"/>
    </row>
    <row r="227" spans="1:15" ht="14.25" customHeight="1" x14ac:dyDescent="0.2">
      <c r="A227" s="133" t="s">
        <v>186</v>
      </c>
      <c r="B227" s="134"/>
      <c r="C227" s="135"/>
      <c r="D227" s="44" t="s">
        <v>109</v>
      </c>
      <c r="E227" s="43">
        <f t="shared" si="69"/>
        <v>47141.2</v>
      </c>
      <c r="F227" s="47">
        <f>F228+F229</f>
        <v>15901.800000000001</v>
      </c>
      <c r="G227" s="47">
        <f t="shared" ref="G227:M227" si="91">G228+G229</f>
        <v>2043</v>
      </c>
      <c r="H227" s="47">
        <f t="shared" si="91"/>
        <v>7430.9</v>
      </c>
      <c r="I227" s="47">
        <f t="shared" si="91"/>
        <v>490.09999999999997</v>
      </c>
      <c r="J227" s="47">
        <f t="shared" si="91"/>
        <v>2499.2999999999997</v>
      </c>
      <c r="K227" s="47">
        <f t="shared" si="91"/>
        <v>4723.8999999999996</v>
      </c>
      <c r="L227" s="47">
        <f t="shared" si="91"/>
        <v>6479.1</v>
      </c>
      <c r="M227" s="47">
        <f t="shared" si="91"/>
        <v>7573.1</v>
      </c>
      <c r="O227" s="46"/>
    </row>
    <row r="228" spans="1:15" ht="14.25" customHeight="1" x14ac:dyDescent="0.2">
      <c r="A228" s="136"/>
      <c r="B228" s="137"/>
      <c r="C228" s="138"/>
      <c r="D228" s="41" t="s">
        <v>11</v>
      </c>
      <c r="E228" s="43">
        <f t="shared" si="69"/>
        <v>27702.1</v>
      </c>
      <c r="F228" s="43">
        <f t="shared" ref="F228:K228" si="92">F213+F201+F198+F195+F192+F189+F186+F183+F180+F177+F174+F171+F216+F219+F225+F204+F207+F210</f>
        <v>1336.7</v>
      </c>
      <c r="G228" s="43">
        <f t="shared" si="92"/>
        <v>743</v>
      </c>
      <c r="H228" s="43">
        <f t="shared" si="92"/>
        <v>7430.9</v>
      </c>
      <c r="I228" s="43">
        <f t="shared" si="92"/>
        <v>490.09999999999997</v>
      </c>
      <c r="J228" s="43">
        <f t="shared" si="92"/>
        <v>2499.2999999999997</v>
      </c>
      <c r="K228" s="43">
        <f t="shared" si="92"/>
        <v>4723.8999999999996</v>
      </c>
      <c r="L228" s="43">
        <f>L213+L201+L198+L195+L192+L189+L186+L183+L180+L177+L174+L171+L216+L219+L225+L204+L207+L210+L222</f>
        <v>5479.1</v>
      </c>
      <c r="M228" s="43">
        <f>M213+M201+M198+M195+M192+M189+M186+M183+M180+M177+M174+M171+M216+M219+M225+M204+M207+M210</f>
        <v>4999.1000000000004</v>
      </c>
      <c r="O228" s="46"/>
    </row>
    <row r="229" spans="1:15" ht="14.25" customHeight="1" x14ac:dyDescent="0.2">
      <c r="A229" s="139"/>
      <c r="B229" s="140"/>
      <c r="C229" s="141"/>
      <c r="D229" s="41" t="s">
        <v>10</v>
      </c>
      <c r="E229" s="43">
        <f t="shared" si="69"/>
        <v>19439.099999999999</v>
      </c>
      <c r="F229" s="43">
        <f t="shared" ref="F229:M229" si="93">F214+F202+F199+F196+F193+F190+F187+F184+F181+F178+F175+F172+F217+F220+F226+F211+F208+F205</f>
        <v>14565.1</v>
      </c>
      <c r="G229" s="43">
        <f t="shared" si="93"/>
        <v>1300</v>
      </c>
      <c r="H229" s="43">
        <f t="shared" si="93"/>
        <v>0</v>
      </c>
      <c r="I229" s="43">
        <f t="shared" si="93"/>
        <v>0</v>
      </c>
      <c r="J229" s="43">
        <f t="shared" si="93"/>
        <v>0</v>
      </c>
      <c r="K229" s="43">
        <f t="shared" si="93"/>
        <v>0</v>
      </c>
      <c r="L229" s="43">
        <f t="shared" si="93"/>
        <v>1000</v>
      </c>
      <c r="M229" s="43">
        <f t="shared" si="93"/>
        <v>2574</v>
      </c>
    </row>
    <row r="230" spans="1:15" ht="14.25" customHeight="1" x14ac:dyDescent="0.2">
      <c r="A230" s="153" t="s">
        <v>79</v>
      </c>
      <c r="B230" s="154"/>
      <c r="C230" s="154"/>
      <c r="D230" s="154"/>
      <c r="E230" s="154"/>
      <c r="F230" s="154"/>
      <c r="G230" s="154"/>
      <c r="H230" s="154"/>
      <c r="I230" s="154"/>
      <c r="J230" s="154"/>
      <c r="K230" s="154"/>
      <c r="L230" s="154"/>
      <c r="M230" s="154"/>
      <c r="O230" s="46"/>
    </row>
    <row r="231" spans="1:15" ht="26.25" customHeight="1" x14ac:dyDescent="0.2">
      <c r="A231" s="115" t="s">
        <v>170</v>
      </c>
      <c r="B231" s="118" t="s">
        <v>284</v>
      </c>
      <c r="C231" s="121" t="s">
        <v>297</v>
      </c>
      <c r="D231" s="41" t="s">
        <v>109</v>
      </c>
      <c r="E231" s="43">
        <f>F231+G231+H231+I231+J231+K231+L231+M231</f>
        <v>2900.6000000000004</v>
      </c>
      <c r="F231" s="43">
        <f>F232+F233</f>
        <v>550</v>
      </c>
      <c r="G231" s="43">
        <f t="shared" ref="G231:K231" si="94">G232+G233</f>
        <v>577.5</v>
      </c>
      <c r="H231" s="43">
        <f t="shared" si="94"/>
        <v>606.4</v>
      </c>
      <c r="I231" s="43">
        <f t="shared" si="94"/>
        <v>0</v>
      </c>
      <c r="J231" s="43">
        <f t="shared" si="94"/>
        <v>0</v>
      </c>
      <c r="K231" s="43">
        <f t="shared" si="94"/>
        <v>153.4</v>
      </c>
      <c r="L231" s="43">
        <f>L232</f>
        <v>78</v>
      </c>
      <c r="M231" s="43">
        <f>M232</f>
        <v>935.3</v>
      </c>
    </row>
    <row r="232" spans="1:15" ht="14.25" customHeight="1" x14ac:dyDescent="0.2">
      <c r="A232" s="116"/>
      <c r="B232" s="119"/>
      <c r="C232" s="122"/>
      <c r="D232" s="41" t="s">
        <v>11</v>
      </c>
      <c r="E232" s="43">
        <f t="shared" ref="E232:E236" si="95">F232+G232+H232+I232+J232+K232+L232+M232</f>
        <v>2900.6000000000004</v>
      </c>
      <c r="F232" s="43">
        <v>550</v>
      </c>
      <c r="G232" s="43">
        <v>577.5</v>
      </c>
      <c r="H232" s="43">
        <v>606.4</v>
      </c>
      <c r="I232" s="43">
        <v>0</v>
      </c>
      <c r="J232" s="43">
        <v>0</v>
      </c>
      <c r="K232" s="43">
        <v>153.4</v>
      </c>
      <c r="L232" s="43">
        <f>78</f>
        <v>78</v>
      </c>
      <c r="M232" s="43">
        <f>60+935.3-60</f>
        <v>935.3</v>
      </c>
    </row>
    <row r="233" spans="1:15" ht="14.25" customHeight="1" x14ac:dyDescent="0.2">
      <c r="A233" s="117"/>
      <c r="B233" s="120"/>
      <c r="C233" s="123"/>
      <c r="D233" s="41" t="s">
        <v>10</v>
      </c>
      <c r="E233" s="43">
        <f t="shared" si="95"/>
        <v>0</v>
      </c>
      <c r="F233" s="43">
        <v>0</v>
      </c>
      <c r="G233" s="43">
        <v>0</v>
      </c>
      <c r="H233" s="43">
        <v>0</v>
      </c>
      <c r="I233" s="43">
        <v>0</v>
      </c>
      <c r="J233" s="43">
        <v>0</v>
      </c>
      <c r="K233" s="43">
        <v>0</v>
      </c>
      <c r="L233" s="43">
        <v>0</v>
      </c>
      <c r="M233" s="43">
        <v>0</v>
      </c>
    </row>
    <row r="234" spans="1:15" ht="14.25" customHeight="1" x14ac:dyDescent="0.2">
      <c r="A234" s="133" t="s">
        <v>188</v>
      </c>
      <c r="B234" s="134"/>
      <c r="C234" s="135"/>
      <c r="D234" s="41" t="s">
        <v>109</v>
      </c>
      <c r="E234" s="43">
        <f t="shared" si="95"/>
        <v>2900.6000000000004</v>
      </c>
      <c r="F234" s="43">
        <f>F235+F236</f>
        <v>550</v>
      </c>
      <c r="G234" s="43">
        <f t="shared" ref="G234:L234" si="96">G235+G236</f>
        <v>577.5</v>
      </c>
      <c r="H234" s="43">
        <f t="shared" si="96"/>
        <v>606.4</v>
      </c>
      <c r="I234" s="43">
        <f t="shared" si="96"/>
        <v>0</v>
      </c>
      <c r="J234" s="43">
        <f t="shared" si="96"/>
        <v>0</v>
      </c>
      <c r="K234" s="43">
        <f t="shared" si="96"/>
        <v>153.4</v>
      </c>
      <c r="L234" s="43">
        <f t="shared" si="96"/>
        <v>78</v>
      </c>
      <c r="M234" s="43">
        <f>M236+M235</f>
        <v>935.3</v>
      </c>
      <c r="O234" s="46"/>
    </row>
    <row r="235" spans="1:15" ht="14.25" customHeight="1" x14ac:dyDescent="0.2">
      <c r="A235" s="136"/>
      <c r="B235" s="137"/>
      <c r="C235" s="138"/>
      <c r="D235" s="41" t="s">
        <v>11</v>
      </c>
      <c r="E235" s="43">
        <f t="shared" si="95"/>
        <v>2900.6000000000004</v>
      </c>
      <c r="F235" s="43">
        <f>F232</f>
        <v>550</v>
      </c>
      <c r="G235" s="43">
        <f t="shared" ref="G235:K235" si="97">G232</f>
        <v>577.5</v>
      </c>
      <c r="H235" s="43">
        <f t="shared" si="97"/>
        <v>606.4</v>
      </c>
      <c r="I235" s="43">
        <f t="shared" si="97"/>
        <v>0</v>
      </c>
      <c r="J235" s="43">
        <f t="shared" si="97"/>
        <v>0</v>
      </c>
      <c r="K235" s="43">
        <f t="shared" si="97"/>
        <v>153.4</v>
      </c>
      <c r="L235" s="43">
        <f>L232</f>
        <v>78</v>
      </c>
      <c r="M235" s="43">
        <f>M232</f>
        <v>935.3</v>
      </c>
    </row>
    <row r="236" spans="1:15" ht="14.25" customHeight="1" x14ac:dyDescent="0.2">
      <c r="A236" s="139"/>
      <c r="B236" s="140"/>
      <c r="C236" s="141"/>
      <c r="D236" s="41" t="s">
        <v>10</v>
      </c>
      <c r="E236" s="43">
        <f t="shared" si="95"/>
        <v>0</v>
      </c>
      <c r="F236" s="43">
        <f>F233</f>
        <v>0</v>
      </c>
      <c r="G236" s="43">
        <f t="shared" ref="G236:K236" si="98">G233</f>
        <v>0</v>
      </c>
      <c r="H236" s="43">
        <f t="shared" si="98"/>
        <v>0</v>
      </c>
      <c r="I236" s="43">
        <f t="shared" si="98"/>
        <v>0</v>
      </c>
      <c r="J236" s="43">
        <f t="shared" si="98"/>
        <v>0</v>
      </c>
      <c r="K236" s="43">
        <f t="shared" si="98"/>
        <v>0</v>
      </c>
      <c r="L236" s="43">
        <v>0</v>
      </c>
      <c r="M236" s="43">
        <v>0</v>
      </c>
    </row>
    <row r="237" spans="1:15" ht="14.25" customHeight="1" x14ac:dyDescent="0.2">
      <c r="A237" s="143" t="s">
        <v>81</v>
      </c>
      <c r="B237" s="143"/>
      <c r="C237" s="143"/>
      <c r="D237" s="143"/>
      <c r="E237" s="143"/>
      <c r="F237" s="143"/>
      <c r="G237" s="143"/>
      <c r="H237" s="143"/>
      <c r="I237" s="143"/>
      <c r="J237" s="143"/>
      <c r="K237" s="143"/>
      <c r="L237" s="143"/>
      <c r="M237" s="143"/>
    </row>
    <row r="238" spans="1:15" ht="84.75" customHeight="1" x14ac:dyDescent="0.2">
      <c r="A238" s="115" t="s">
        <v>171</v>
      </c>
      <c r="B238" s="118" t="s">
        <v>324</v>
      </c>
      <c r="C238" s="121" t="s">
        <v>298</v>
      </c>
      <c r="D238" s="41" t="s">
        <v>109</v>
      </c>
      <c r="E238" s="43">
        <f>F238+G238+H238+I238+J238+K238+L238+M238</f>
        <v>682.90000000000009</v>
      </c>
      <c r="F238" s="43">
        <f>F239+F240</f>
        <v>100</v>
      </c>
      <c r="G238" s="43">
        <f t="shared" ref="G238" si="99">G239+G240</f>
        <v>105</v>
      </c>
      <c r="H238" s="43">
        <f t="shared" ref="H238" si="100">H239+H240</f>
        <v>60.3</v>
      </c>
      <c r="I238" s="43">
        <f t="shared" ref="I238" si="101">I239+I240</f>
        <v>115.8</v>
      </c>
      <c r="J238" s="43">
        <f t="shared" ref="J238" si="102">J239+J240</f>
        <v>41.3</v>
      </c>
      <c r="K238" s="43">
        <f t="shared" ref="K238" si="103">K239+K240</f>
        <v>127.7</v>
      </c>
      <c r="L238" s="43">
        <f t="shared" ref="L238" si="104">L239+L240</f>
        <v>132.80000000000001</v>
      </c>
      <c r="M238" s="43">
        <f t="shared" ref="M238" si="105">M239+M240</f>
        <v>0</v>
      </c>
      <c r="O238" s="46"/>
    </row>
    <row r="239" spans="1:15" ht="14.25" customHeight="1" x14ac:dyDescent="0.2">
      <c r="A239" s="116"/>
      <c r="B239" s="119"/>
      <c r="C239" s="122"/>
      <c r="D239" s="41" t="s">
        <v>11</v>
      </c>
      <c r="E239" s="43">
        <f t="shared" ref="E239:E267" si="106">F239+G239+H239+I239+J239+K239+L239+M239</f>
        <v>682.90000000000009</v>
      </c>
      <c r="F239" s="43">
        <v>100</v>
      </c>
      <c r="G239" s="43">
        <v>105</v>
      </c>
      <c r="H239" s="43">
        <v>60.3</v>
      </c>
      <c r="I239" s="43">
        <v>115.8</v>
      </c>
      <c r="J239" s="43">
        <v>41.3</v>
      </c>
      <c r="K239" s="43">
        <v>127.7</v>
      </c>
      <c r="L239" s="43">
        <v>132.80000000000001</v>
      </c>
      <c r="M239" s="43">
        <f>138.1-26-112.1</f>
        <v>0</v>
      </c>
    </row>
    <row r="240" spans="1:15" ht="14.25" customHeight="1" x14ac:dyDescent="0.2">
      <c r="A240" s="117"/>
      <c r="B240" s="120"/>
      <c r="C240" s="123"/>
      <c r="D240" s="41" t="s">
        <v>10</v>
      </c>
      <c r="E240" s="43">
        <f t="shared" si="106"/>
        <v>0</v>
      </c>
      <c r="F240" s="43">
        <v>0</v>
      </c>
      <c r="G240" s="43">
        <v>0</v>
      </c>
      <c r="H240" s="43">
        <v>0</v>
      </c>
      <c r="I240" s="43">
        <v>0</v>
      </c>
      <c r="J240" s="43">
        <v>0</v>
      </c>
      <c r="K240" s="43">
        <v>0</v>
      </c>
      <c r="L240" s="43">
        <v>0</v>
      </c>
      <c r="M240" s="43">
        <v>0</v>
      </c>
    </row>
    <row r="241" spans="1:15" ht="56.25" customHeight="1" x14ac:dyDescent="0.2">
      <c r="A241" s="40" t="s">
        <v>172</v>
      </c>
      <c r="B241" s="45" t="s">
        <v>270</v>
      </c>
      <c r="C241" s="41" t="s">
        <v>297</v>
      </c>
      <c r="D241" s="41" t="s">
        <v>11</v>
      </c>
      <c r="E241" s="43">
        <f t="shared" si="106"/>
        <v>0</v>
      </c>
      <c r="F241" s="43">
        <v>0</v>
      </c>
      <c r="G241" s="43">
        <v>0</v>
      </c>
      <c r="H241" s="43">
        <v>0</v>
      </c>
      <c r="I241" s="43">
        <v>0</v>
      </c>
      <c r="J241" s="43">
        <v>0</v>
      </c>
      <c r="K241" s="43">
        <v>0</v>
      </c>
      <c r="L241" s="43">
        <v>0</v>
      </c>
      <c r="M241" s="43">
        <v>0</v>
      </c>
    </row>
    <row r="242" spans="1:15" ht="56.25" customHeight="1" x14ac:dyDescent="0.2">
      <c r="A242" s="40" t="s">
        <v>173</v>
      </c>
      <c r="B242" s="45" t="s">
        <v>82</v>
      </c>
      <c r="C242" s="41" t="s">
        <v>254</v>
      </c>
      <c r="D242" s="41" t="s">
        <v>11</v>
      </c>
      <c r="E242" s="43">
        <f t="shared" si="106"/>
        <v>0</v>
      </c>
      <c r="F242" s="43">
        <v>0</v>
      </c>
      <c r="G242" s="43">
        <v>0</v>
      </c>
      <c r="H242" s="43">
        <v>0</v>
      </c>
      <c r="I242" s="43">
        <v>0</v>
      </c>
      <c r="J242" s="43">
        <v>0</v>
      </c>
      <c r="K242" s="43">
        <v>0</v>
      </c>
      <c r="L242" s="43">
        <v>0</v>
      </c>
      <c r="M242" s="43">
        <v>0</v>
      </c>
    </row>
    <row r="243" spans="1:15" ht="27.75" customHeight="1" x14ac:dyDescent="0.2">
      <c r="A243" s="115" t="s">
        <v>174</v>
      </c>
      <c r="B243" s="118" t="s">
        <v>83</v>
      </c>
      <c r="C243" s="121" t="s">
        <v>299</v>
      </c>
      <c r="D243" s="41" t="s">
        <v>109</v>
      </c>
      <c r="E243" s="43">
        <f t="shared" si="106"/>
        <v>483</v>
      </c>
      <c r="F243" s="43">
        <f>F244+F245</f>
        <v>40</v>
      </c>
      <c r="G243" s="43">
        <f t="shared" ref="G243:M243" si="107">G244+G245</f>
        <v>42</v>
      </c>
      <c r="H243" s="43">
        <f t="shared" si="107"/>
        <v>44.1</v>
      </c>
      <c r="I243" s="43">
        <f t="shared" si="107"/>
        <v>46.3</v>
      </c>
      <c r="J243" s="43">
        <f t="shared" si="107"/>
        <v>48.6</v>
      </c>
      <c r="K243" s="43">
        <f t="shared" si="107"/>
        <v>51</v>
      </c>
      <c r="L243" s="43">
        <f t="shared" si="107"/>
        <v>53</v>
      </c>
      <c r="M243" s="43">
        <f t="shared" si="107"/>
        <v>158</v>
      </c>
      <c r="O243" s="46"/>
    </row>
    <row r="244" spans="1:15" ht="14.25" customHeight="1" x14ac:dyDescent="0.2">
      <c r="A244" s="116"/>
      <c r="B244" s="119"/>
      <c r="C244" s="122"/>
      <c r="D244" s="41" t="s">
        <v>11</v>
      </c>
      <c r="E244" s="43">
        <f t="shared" si="106"/>
        <v>483</v>
      </c>
      <c r="F244" s="43">
        <v>40</v>
      </c>
      <c r="G244" s="43">
        <v>42</v>
      </c>
      <c r="H244" s="43">
        <v>44.1</v>
      </c>
      <c r="I244" s="43">
        <v>46.3</v>
      </c>
      <c r="J244" s="43">
        <v>48.6</v>
      </c>
      <c r="K244" s="43">
        <v>51</v>
      </c>
      <c r="L244" s="43">
        <v>53</v>
      </c>
      <c r="M244" s="43">
        <f>55.2+112.1-9.3</f>
        <v>158</v>
      </c>
    </row>
    <row r="245" spans="1:15" ht="14.25" customHeight="1" x14ac:dyDescent="0.2">
      <c r="A245" s="117"/>
      <c r="B245" s="120"/>
      <c r="C245" s="123"/>
      <c r="D245" s="41" t="s">
        <v>10</v>
      </c>
      <c r="E245" s="43">
        <f t="shared" si="106"/>
        <v>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  <c r="K245" s="43">
        <v>0</v>
      </c>
      <c r="L245" s="43">
        <v>0</v>
      </c>
      <c r="M245" s="43">
        <v>0</v>
      </c>
    </row>
    <row r="246" spans="1:15" ht="56.25" customHeight="1" x14ac:dyDescent="0.2">
      <c r="A246" s="40" t="s">
        <v>175</v>
      </c>
      <c r="B246" s="45" t="s">
        <v>84</v>
      </c>
      <c r="C246" s="41" t="s">
        <v>298</v>
      </c>
      <c r="D246" s="41" t="s">
        <v>11</v>
      </c>
      <c r="E246" s="43">
        <f t="shared" si="106"/>
        <v>0</v>
      </c>
      <c r="F246" s="43">
        <v>0</v>
      </c>
      <c r="G246" s="43">
        <v>0</v>
      </c>
      <c r="H246" s="43">
        <v>0</v>
      </c>
      <c r="I246" s="43">
        <v>0</v>
      </c>
      <c r="J246" s="43">
        <v>0</v>
      </c>
      <c r="K246" s="43">
        <v>0</v>
      </c>
      <c r="L246" s="43">
        <v>0</v>
      </c>
      <c r="M246" s="43">
        <v>0</v>
      </c>
    </row>
    <row r="247" spans="1:15" ht="56.25" customHeight="1" x14ac:dyDescent="0.2">
      <c r="A247" s="40" t="s">
        <v>176</v>
      </c>
      <c r="B247" s="45" t="s">
        <v>85</v>
      </c>
      <c r="C247" s="41" t="s">
        <v>300</v>
      </c>
      <c r="D247" s="41" t="s">
        <v>11</v>
      </c>
      <c r="E247" s="43">
        <f t="shared" si="106"/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  <c r="K247" s="43">
        <v>0</v>
      </c>
      <c r="L247" s="43">
        <v>0</v>
      </c>
      <c r="M247" s="43">
        <v>0</v>
      </c>
    </row>
    <row r="248" spans="1:15" ht="56.25" customHeight="1" x14ac:dyDescent="0.2">
      <c r="A248" s="40" t="s">
        <v>177</v>
      </c>
      <c r="B248" s="45" t="s">
        <v>86</v>
      </c>
      <c r="C248" s="41" t="s">
        <v>193</v>
      </c>
      <c r="D248" s="41" t="s">
        <v>11</v>
      </c>
      <c r="E248" s="43">
        <f t="shared" si="106"/>
        <v>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  <c r="K248" s="43">
        <v>0</v>
      </c>
      <c r="L248" s="43">
        <v>0</v>
      </c>
      <c r="M248" s="43">
        <v>0</v>
      </c>
    </row>
    <row r="249" spans="1:15" ht="30.75" customHeight="1" x14ac:dyDescent="0.2">
      <c r="A249" s="115" t="s">
        <v>178</v>
      </c>
      <c r="B249" s="118" t="s">
        <v>87</v>
      </c>
      <c r="C249" s="121" t="s">
        <v>301</v>
      </c>
      <c r="D249" s="41" t="s">
        <v>109</v>
      </c>
      <c r="E249" s="43">
        <f t="shared" si="106"/>
        <v>233.93</v>
      </c>
      <c r="F249" s="43">
        <f>F250+F251</f>
        <v>38</v>
      </c>
      <c r="G249" s="43">
        <f t="shared" ref="G249:M249" si="108">G250+G251</f>
        <v>7.63</v>
      </c>
      <c r="H249" s="43">
        <f t="shared" si="108"/>
        <v>57</v>
      </c>
      <c r="I249" s="43">
        <f t="shared" si="108"/>
        <v>96.3</v>
      </c>
      <c r="J249" s="43">
        <f t="shared" si="108"/>
        <v>35</v>
      </c>
      <c r="K249" s="43">
        <f t="shared" si="108"/>
        <v>0</v>
      </c>
      <c r="L249" s="43">
        <f t="shared" si="108"/>
        <v>0</v>
      </c>
      <c r="M249" s="43">
        <f t="shared" si="108"/>
        <v>0</v>
      </c>
      <c r="O249" s="46"/>
    </row>
    <row r="250" spans="1:15" ht="14.25" customHeight="1" x14ac:dyDescent="0.2">
      <c r="A250" s="116"/>
      <c r="B250" s="119"/>
      <c r="C250" s="122"/>
      <c r="D250" s="41" t="s">
        <v>11</v>
      </c>
      <c r="E250" s="43">
        <f t="shared" si="106"/>
        <v>0</v>
      </c>
      <c r="F250" s="43">
        <v>0</v>
      </c>
      <c r="G250" s="43">
        <v>0</v>
      </c>
      <c r="H250" s="43">
        <v>0</v>
      </c>
      <c r="I250" s="43">
        <v>0</v>
      </c>
      <c r="J250" s="43">
        <v>0</v>
      </c>
      <c r="K250" s="43">
        <v>0</v>
      </c>
      <c r="L250" s="43">
        <v>0</v>
      </c>
      <c r="M250" s="43">
        <v>0</v>
      </c>
    </row>
    <row r="251" spans="1:15" ht="14.25" customHeight="1" x14ac:dyDescent="0.2">
      <c r="A251" s="117"/>
      <c r="B251" s="120"/>
      <c r="C251" s="123"/>
      <c r="D251" s="41" t="s">
        <v>10</v>
      </c>
      <c r="E251" s="43">
        <f t="shared" si="106"/>
        <v>233.93</v>
      </c>
      <c r="F251" s="43">
        <v>38</v>
      </c>
      <c r="G251" s="43">
        <v>7.63</v>
      </c>
      <c r="H251" s="43">
        <v>57</v>
      </c>
      <c r="I251" s="43">
        <v>96.3</v>
      </c>
      <c r="J251" s="43">
        <v>35</v>
      </c>
      <c r="K251" s="43">
        <v>0</v>
      </c>
      <c r="L251" s="43">
        <f>95-95</f>
        <v>0</v>
      </c>
      <c r="M251" s="43">
        <v>0</v>
      </c>
    </row>
    <row r="252" spans="1:15" ht="30.75" customHeight="1" x14ac:dyDescent="0.2">
      <c r="A252" s="115" t="s">
        <v>179</v>
      </c>
      <c r="B252" s="118" t="s">
        <v>88</v>
      </c>
      <c r="C252" s="121" t="s">
        <v>301</v>
      </c>
      <c r="D252" s="41" t="s">
        <v>109</v>
      </c>
      <c r="E252" s="43">
        <f t="shared" si="106"/>
        <v>1428.1000000000001</v>
      </c>
      <c r="F252" s="43">
        <f>F253+F254</f>
        <v>0</v>
      </c>
      <c r="G252" s="43">
        <f t="shared" ref="G252" si="109">G253+G254</f>
        <v>209.8</v>
      </c>
      <c r="H252" s="43">
        <f t="shared" ref="H252" si="110">H253+H254</f>
        <v>218.2</v>
      </c>
      <c r="I252" s="43">
        <v>127.3</v>
      </c>
      <c r="J252" s="43">
        <f t="shared" ref="J252" si="111">J253+J254</f>
        <v>218.2</v>
      </c>
      <c r="K252" s="43">
        <f t="shared" ref="K252" si="112">K253+K254</f>
        <v>218.2</v>
      </c>
      <c r="L252" s="43">
        <f t="shared" ref="L252" si="113">L253+L254</f>
        <v>218.2</v>
      </c>
      <c r="M252" s="43">
        <f t="shared" ref="M252" si="114">M253+M254</f>
        <v>218.2</v>
      </c>
      <c r="O252" s="46"/>
    </row>
    <row r="253" spans="1:15" ht="14.25" customHeight="1" x14ac:dyDescent="0.2">
      <c r="A253" s="116"/>
      <c r="B253" s="119"/>
      <c r="C253" s="122"/>
      <c r="D253" s="41" t="s">
        <v>11</v>
      </c>
      <c r="E253" s="43">
        <f t="shared" si="106"/>
        <v>0</v>
      </c>
      <c r="F253" s="43">
        <v>0</v>
      </c>
      <c r="G253" s="43">
        <v>0</v>
      </c>
      <c r="H253" s="43">
        <v>0</v>
      </c>
      <c r="I253" s="43">
        <v>0</v>
      </c>
      <c r="J253" s="43">
        <v>0</v>
      </c>
      <c r="K253" s="43">
        <v>0</v>
      </c>
      <c r="L253" s="43">
        <v>0</v>
      </c>
      <c r="M253" s="43">
        <v>0</v>
      </c>
    </row>
    <row r="254" spans="1:15" ht="14.25" customHeight="1" x14ac:dyDescent="0.2">
      <c r="A254" s="117"/>
      <c r="B254" s="120"/>
      <c r="C254" s="123"/>
      <c r="D254" s="41" t="s">
        <v>10</v>
      </c>
      <c r="E254" s="43">
        <f t="shared" si="106"/>
        <v>1428.1000000000001</v>
      </c>
      <c r="F254" s="43">
        <v>0</v>
      </c>
      <c r="G254" s="43">
        <v>209.8</v>
      </c>
      <c r="H254" s="43">
        <v>218.2</v>
      </c>
      <c r="I254" s="43">
        <v>127.3</v>
      </c>
      <c r="J254" s="43">
        <v>218.2</v>
      </c>
      <c r="K254" s="43">
        <v>218.2</v>
      </c>
      <c r="L254" s="43">
        <v>218.2</v>
      </c>
      <c r="M254" s="43">
        <v>218.2</v>
      </c>
    </row>
    <row r="255" spans="1:15" ht="75" customHeight="1" x14ac:dyDescent="0.2">
      <c r="A255" s="115" t="s">
        <v>180</v>
      </c>
      <c r="B255" s="118" t="s">
        <v>423</v>
      </c>
      <c r="C255" s="121" t="s">
        <v>302</v>
      </c>
      <c r="D255" s="41" t="s">
        <v>109</v>
      </c>
      <c r="E255" s="43">
        <f t="shared" si="106"/>
        <v>13632.4</v>
      </c>
      <c r="F255" s="43">
        <f>F256+F257</f>
        <v>0</v>
      </c>
      <c r="G255" s="43">
        <f t="shared" ref="G255" si="115">G256+G257</f>
        <v>1773.8</v>
      </c>
      <c r="H255" s="43">
        <f t="shared" ref="H255" si="116">H256+H257</f>
        <v>2177.9</v>
      </c>
      <c r="I255" s="43">
        <f t="shared" ref="I255" si="117">I256+I257</f>
        <v>1806.3</v>
      </c>
      <c r="J255" s="43">
        <f t="shared" ref="J255" si="118">J256+J257</f>
        <v>1693</v>
      </c>
      <c r="K255" s="43">
        <f t="shared" ref="K255" si="119">K256+K257</f>
        <v>2297</v>
      </c>
      <c r="L255" s="43">
        <f t="shared" ref="L255" si="120">L256+L257</f>
        <v>1877.4</v>
      </c>
      <c r="M255" s="43">
        <f t="shared" ref="M255" si="121">M256+M257</f>
        <v>2007</v>
      </c>
      <c r="O255" s="46"/>
    </row>
    <row r="256" spans="1:15" ht="14.25" customHeight="1" x14ac:dyDescent="0.2">
      <c r="A256" s="116"/>
      <c r="B256" s="119"/>
      <c r="C256" s="122"/>
      <c r="D256" s="41" t="s">
        <v>11</v>
      </c>
      <c r="E256" s="43">
        <f t="shared" si="106"/>
        <v>13632.4</v>
      </c>
      <c r="F256" s="43">
        <v>0</v>
      </c>
      <c r="G256" s="43">
        <v>1773.8</v>
      </c>
      <c r="H256" s="43">
        <v>2177.9</v>
      </c>
      <c r="I256" s="43">
        <v>1806.3</v>
      </c>
      <c r="J256" s="43">
        <v>1693</v>
      </c>
      <c r="K256" s="43">
        <v>2297</v>
      </c>
      <c r="L256" s="43">
        <v>1877.4</v>
      </c>
      <c r="M256" s="43">
        <v>2007</v>
      </c>
    </row>
    <row r="257" spans="1:15" ht="14.25" customHeight="1" x14ac:dyDescent="0.2">
      <c r="A257" s="117"/>
      <c r="B257" s="120"/>
      <c r="C257" s="123"/>
      <c r="D257" s="41" t="s">
        <v>10</v>
      </c>
      <c r="E257" s="43">
        <f t="shared" si="106"/>
        <v>0</v>
      </c>
      <c r="F257" s="43">
        <v>0</v>
      </c>
      <c r="G257" s="43">
        <v>0</v>
      </c>
      <c r="H257" s="43">
        <v>0</v>
      </c>
      <c r="I257" s="43">
        <v>0</v>
      </c>
      <c r="J257" s="43">
        <v>0</v>
      </c>
      <c r="K257" s="43">
        <v>0</v>
      </c>
      <c r="L257" s="43">
        <v>0</v>
      </c>
      <c r="M257" s="43">
        <v>0</v>
      </c>
    </row>
    <row r="258" spans="1:15" ht="30.75" customHeight="1" x14ac:dyDescent="0.2">
      <c r="A258" s="115" t="s">
        <v>181</v>
      </c>
      <c r="B258" s="118" t="s">
        <v>282</v>
      </c>
      <c r="C258" s="121" t="s">
        <v>25</v>
      </c>
      <c r="D258" s="41" t="s">
        <v>109</v>
      </c>
      <c r="E258" s="43">
        <f t="shared" si="106"/>
        <v>189.10000000000002</v>
      </c>
      <c r="F258" s="43">
        <f>F259+F260</f>
        <v>0</v>
      </c>
      <c r="G258" s="43">
        <f t="shared" ref="G258" si="122">G259+G260</f>
        <v>0</v>
      </c>
      <c r="H258" s="43">
        <f t="shared" ref="H258" si="123">H259+H260</f>
        <v>95.6</v>
      </c>
      <c r="I258" s="43">
        <f t="shared" ref="I258:J258" si="124">I259+I260</f>
        <v>0</v>
      </c>
      <c r="J258" s="43">
        <f t="shared" si="124"/>
        <v>80.3</v>
      </c>
      <c r="K258" s="43">
        <f t="shared" ref="K258" si="125">K259+K260</f>
        <v>0</v>
      </c>
      <c r="L258" s="43">
        <f t="shared" ref="L258" si="126">L259+L260</f>
        <v>0</v>
      </c>
      <c r="M258" s="43">
        <f t="shared" ref="M258" si="127">M259+M260</f>
        <v>13.200000000000045</v>
      </c>
      <c r="O258" s="46"/>
    </row>
    <row r="259" spans="1:15" ht="14.25" customHeight="1" x14ac:dyDescent="0.2">
      <c r="A259" s="116"/>
      <c r="B259" s="119"/>
      <c r="C259" s="122"/>
      <c r="D259" s="41" t="s">
        <v>11</v>
      </c>
      <c r="E259" s="43">
        <f t="shared" si="106"/>
        <v>189.10000000000002</v>
      </c>
      <c r="F259" s="43">
        <v>0</v>
      </c>
      <c r="G259" s="43">
        <v>0</v>
      </c>
      <c r="H259" s="43">
        <v>95.6</v>
      </c>
      <c r="I259" s="43">
        <v>0</v>
      </c>
      <c r="J259" s="43">
        <v>80.3</v>
      </c>
      <c r="K259" s="43">
        <v>0</v>
      </c>
      <c r="L259" s="43">
        <v>0</v>
      </c>
      <c r="M259" s="43">
        <f>630-616.8</f>
        <v>13.200000000000045</v>
      </c>
    </row>
    <row r="260" spans="1:15" ht="14.25" customHeight="1" x14ac:dyDescent="0.2">
      <c r="A260" s="117"/>
      <c r="B260" s="120"/>
      <c r="C260" s="123"/>
      <c r="D260" s="41" t="s">
        <v>10</v>
      </c>
      <c r="E260" s="43">
        <f t="shared" si="106"/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  <c r="K260" s="43">
        <v>0</v>
      </c>
      <c r="L260" s="43">
        <v>0</v>
      </c>
      <c r="M260" s="43">
        <v>0</v>
      </c>
    </row>
    <row r="261" spans="1:15" ht="14.25" customHeight="1" x14ac:dyDescent="0.2">
      <c r="A261" s="133" t="s">
        <v>189</v>
      </c>
      <c r="B261" s="134"/>
      <c r="C261" s="135"/>
      <c r="D261" s="41" t="s">
        <v>109</v>
      </c>
      <c r="E261" s="43">
        <f t="shared" si="106"/>
        <v>16649.43</v>
      </c>
      <c r="F261" s="43">
        <f>F262+F263</f>
        <v>178</v>
      </c>
      <c r="G261" s="43">
        <f t="shared" ref="G261:I261" si="128">G262+G263</f>
        <v>2138.23</v>
      </c>
      <c r="H261" s="43">
        <f t="shared" si="128"/>
        <v>2653.1</v>
      </c>
      <c r="I261" s="43">
        <f t="shared" si="128"/>
        <v>2192</v>
      </c>
      <c r="J261" s="43">
        <f>J262+J263</f>
        <v>2116.4</v>
      </c>
      <c r="K261" s="43">
        <f t="shared" ref="K261:M261" si="129">K262+K263</f>
        <v>2693.8999999999996</v>
      </c>
      <c r="L261" s="43">
        <f t="shared" si="129"/>
        <v>2281.4</v>
      </c>
      <c r="M261" s="43">
        <f t="shared" si="129"/>
        <v>2396.3999999999996</v>
      </c>
      <c r="O261" s="46"/>
    </row>
    <row r="262" spans="1:15" ht="14.25" customHeight="1" x14ac:dyDescent="0.2">
      <c r="A262" s="136"/>
      <c r="B262" s="137"/>
      <c r="C262" s="138"/>
      <c r="D262" s="41" t="s">
        <v>11</v>
      </c>
      <c r="E262" s="43">
        <f t="shared" si="106"/>
        <v>14987.400000000001</v>
      </c>
      <c r="F262" s="43">
        <f>F259+F256+F253+F250+F244+F239</f>
        <v>140</v>
      </c>
      <c r="G262" s="43">
        <f t="shared" ref="G262:I262" si="130">G259+G256+G253+G250+G244+G239</f>
        <v>1920.8</v>
      </c>
      <c r="H262" s="43">
        <f t="shared" si="130"/>
        <v>2377.9</v>
      </c>
      <c r="I262" s="43">
        <f t="shared" si="130"/>
        <v>1968.3999999999999</v>
      </c>
      <c r="J262" s="43">
        <f>J239+J244+J250+J253+J256+J259</f>
        <v>1863.2</v>
      </c>
      <c r="K262" s="43">
        <f t="shared" ref="K262:M262" si="131">K239+K244+K250+K253+K256+K259</f>
        <v>2475.6999999999998</v>
      </c>
      <c r="L262" s="43">
        <f t="shared" si="131"/>
        <v>2063.2000000000003</v>
      </c>
      <c r="M262" s="43">
        <f t="shared" si="131"/>
        <v>2178.1999999999998</v>
      </c>
    </row>
    <row r="263" spans="1:15" ht="14.25" customHeight="1" x14ac:dyDescent="0.2">
      <c r="A263" s="139"/>
      <c r="B263" s="140"/>
      <c r="C263" s="141"/>
      <c r="D263" s="41" t="s">
        <v>10</v>
      </c>
      <c r="E263" s="43">
        <f t="shared" si="106"/>
        <v>1662.0300000000002</v>
      </c>
      <c r="F263" s="43">
        <f>F260+F257+F254+F251+F245+F240</f>
        <v>38</v>
      </c>
      <c r="G263" s="43">
        <f t="shared" ref="G263:M263" si="132">G260+G257+G254+G251+G245+G240</f>
        <v>217.43</v>
      </c>
      <c r="H263" s="43">
        <f t="shared" si="132"/>
        <v>275.2</v>
      </c>
      <c r="I263" s="43">
        <f t="shared" si="132"/>
        <v>223.6</v>
      </c>
      <c r="J263" s="43">
        <f t="shared" si="132"/>
        <v>253.2</v>
      </c>
      <c r="K263" s="43">
        <f t="shared" si="132"/>
        <v>218.2</v>
      </c>
      <c r="L263" s="43">
        <f t="shared" si="132"/>
        <v>218.2</v>
      </c>
      <c r="M263" s="43">
        <f t="shared" si="132"/>
        <v>218.2</v>
      </c>
      <c r="O263" s="46"/>
    </row>
    <row r="264" spans="1:15" ht="14.25" customHeight="1" x14ac:dyDescent="0.2">
      <c r="A264" s="144" t="s">
        <v>182</v>
      </c>
      <c r="B264" s="145"/>
      <c r="C264" s="146"/>
      <c r="D264" s="41" t="s">
        <v>109</v>
      </c>
      <c r="E264" s="43">
        <f t="shared" si="106"/>
        <v>890463.48</v>
      </c>
      <c r="F264" s="43">
        <f>F265+F266+F267</f>
        <v>92723.900000000023</v>
      </c>
      <c r="G264" s="43">
        <f t="shared" ref="G264:M264" si="133">G265+G266+G267</f>
        <v>82459.03</v>
      </c>
      <c r="H264" s="43">
        <f t="shared" si="133"/>
        <v>99825.849999999991</v>
      </c>
      <c r="I264" s="43">
        <f t="shared" si="133"/>
        <v>100309.49999999999</v>
      </c>
      <c r="J264" s="43">
        <f t="shared" si="133"/>
        <v>117988.20000000001</v>
      </c>
      <c r="K264" s="43">
        <f t="shared" si="133"/>
        <v>126169.90000000001</v>
      </c>
      <c r="L264" s="43">
        <f t="shared" si="133"/>
        <v>130040.90000000001</v>
      </c>
      <c r="M264" s="43">
        <f t="shared" si="133"/>
        <v>140946.20000000001</v>
      </c>
      <c r="O264" s="46"/>
    </row>
    <row r="265" spans="1:15" ht="14.25" customHeight="1" x14ac:dyDescent="0.2">
      <c r="A265" s="147"/>
      <c r="B265" s="148"/>
      <c r="C265" s="149"/>
      <c r="D265" s="41" t="s">
        <v>12</v>
      </c>
      <c r="E265" s="43">
        <f t="shared" si="106"/>
        <v>183.29999999999998</v>
      </c>
      <c r="F265" s="43">
        <f t="shared" ref="F265:M265" si="134">F119</f>
        <v>0</v>
      </c>
      <c r="G265" s="43">
        <f t="shared" si="134"/>
        <v>42.6</v>
      </c>
      <c r="H265" s="43">
        <f t="shared" si="134"/>
        <v>0</v>
      </c>
      <c r="I265" s="43">
        <f t="shared" si="134"/>
        <v>0</v>
      </c>
      <c r="J265" s="43">
        <f t="shared" si="134"/>
        <v>0</v>
      </c>
      <c r="K265" s="43">
        <f t="shared" si="134"/>
        <v>0</v>
      </c>
      <c r="L265" s="43">
        <f t="shared" si="134"/>
        <v>140.69999999999999</v>
      </c>
      <c r="M265" s="43">
        <f t="shared" si="134"/>
        <v>0</v>
      </c>
      <c r="O265" s="46"/>
    </row>
    <row r="266" spans="1:15" ht="14.25" customHeight="1" x14ac:dyDescent="0.2">
      <c r="A266" s="147"/>
      <c r="B266" s="148"/>
      <c r="C266" s="149"/>
      <c r="D266" s="41" t="s">
        <v>11</v>
      </c>
      <c r="E266" s="43">
        <f t="shared" si="106"/>
        <v>868692.55</v>
      </c>
      <c r="F266" s="43">
        <f t="shared" ref="F266:M266" si="135">F262+F235+F228+F167+F139+F120+F73</f>
        <v>78120.800000000017</v>
      </c>
      <c r="G266" s="43">
        <f t="shared" si="135"/>
        <v>80599</v>
      </c>
      <c r="H266" s="43">
        <f t="shared" si="135"/>
        <v>99550.65</v>
      </c>
      <c r="I266" s="43">
        <f t="shared" si="135"/>
        <v>100085.89999999998</v>
      </c>
      <c r="J266" s="43">
        <f t="shared" si="135"/>
        <v>117735.00000000001</v>
      </c>
      <c r="K266" s="43">
        <f t="shared" si="135"/>
        <v>125951.70000000001</v>
      </c>
      <c r="L266" s="43">
        <f t="shared" si="135"/>
        <v>128495.50000000001</v>
      </c>
      <c r="M266" s="43">
        <f t="shared" si="135"/>
        <v>138154</v>
      </c>
      <c r="N266" s="46"/>
      <c r="O266" s="46"/>
    </row>
    <row r="267" spans="1:15" ht="14.25" customHeight="1" x14ac:dyDescent="0.2">
      <c r="A267" s="150"/>
      <c r="B267" s="151"/>
      <c r="C267" s="152"/>
      <c r="D267" s="41" t="s">
        <v>10</v>
      </c>
      <c r="E267" s="43">
        <f t="shared" si="106"/>
        <v>21587.63</v>
      </c>
      <c r="F267" s="43">
        <f t="shared" ref="F267:M267" si="136">F263+F236+F229+F168+F140+F121+F74</f>
        <v>14603.1</v>
      </c>
      <c r="G267" s="43">
        <f t="shared" si="136"/>
        <v>1817.43</v>
      </c>
      <c r="H267" s="43">
        <f t="shared" si="136"/>
        <v>275.2</v>
      </c>
      <c r="I267" s="43">
        <f t="shared" si="136"/>
        <v>223.6</v>
      </c>
      <c r="J267" s="43">
        <f t="shared" si="136"/>
        <v>253.2</v>
      </c>
      <c r="K267" s="43">
        <f t="shared" si="136"/>
        <v>218.2</v>
      </c>
      <c r="L267" s="43">
        <f t="shared" si="136"/>
        <v>1404.7</v>
      </c>
      <c r="M267" s="43">
        <f t="shared" si="136"/>
        <v>2792.2</v>
      </c>
      <c r="N267" s="46" t="s">
        <v>239</v>
      </c>
    </row>
    <row r="270" spans="1:15" x14ac:dyDescent="0.2">
      <c r="E270" s="52"/>
      <c r="F270" s="52"/>
      <c r="G270" s="52"/>
      <c r="H270" s="52"/>
      <c r="I270" s="52"/>
      <c r="J270" s="52"/>
      <c r="K270" s="52"/>
      <c r="L270" s="52"/>
      <c r="M270" s="52"/>
      <c r="N270" s="52"/>
    </row>
    <row r="271" spans="1:15" x14ac:dyDescent="0.2">
      <c r="E271" s="52"/>
      <c r="F271" s="52"/>
      <c r="G271" s="52"/>
      <c r="H271" s="52"/>
      <c r="I271" s="52"/>
      <c r="J271" s="52"/>
      <c r="K271" s="52"/>
      <c r="L271" s="52"/>
      <c r="M271" s="52"/>
    </row>
  </sheetData>
  <mergeCells count="239">
    <mergeCell ref="A230:M230"/>
    <mergeCell ref="A237:M237"/>
    <mergeCell ref="A234:C236"/>
    <mergeCell ref="A194:A196"/>
    <mergeCell ref="B194:B196"/>
    <mergeCell ref="C194:C196"/>
    <mergeCell ref="A197:A199"/>
    <mergeCell ref="B197:B199"/>
    <mergeCell ref="C197:C199"/>
    <mergeCell ref="A231:A233"/>
    <mergeCell ref="B231:B233"/>
    <mergeCell ref="C231:C233"/>
    <mergeCell ref="A227:C229"/>
    <mergeCell ref="A200:A202"/>
    <mergeCell ref="B200:B202"/>
    <mergeCell ref="C200:C202"/>
    <mergeCell ref="A212:A214"/>
    <mergeCell ref="B212:B214"/>
    <mergeCell ref="C212:C214"/>
    <mergeCell ref="A221:A223"/>
    <mergeCell ref="B221:B223"/>
    <mergeCell ref="A203:A205"/>
    <mergeCell ref="B203:B205"/>
    <mergeCell ref="C203:C205"/>
    <mergeCell ref="A264:C267"/>
    <mergeCell ref="A261:C263"/>
    <mergeCell ref="A238:A240"/>
    <mergeCell ref="B238:B240"/>
    <mergeCell ref="C238:C240"/>
    <mergeCell ref="B255:B257"/>
    <mergeCell ref="C255:C257"/>
    <mergeCell ref="A258:A260"/>
    <mergeCell ref="B258:B260"/>
    <mergeCell ref="C258:C260"/>
    <mergeCell ref="A243:A245"/>
    <mergeCell ref="B243:B245"/>
    <mergeCell ref="C243:C245"/>
    <mergeCell ref="A252:A254"/>
    <mergeCell ref="B252:B254"/>
    <mergeCell ref="C252:C254"/>
    <mergeCell ref="A255:A257"/>
    <mergeCell ref="A249:A251"/>
    <mergeCell ref="B249:B251"/>
    <mergeCell ref="C249:C251"/>
    <mergeCell ref="A206:A208"/>
    <mergeCell ref="B206:B208"/>
    <mergeCell ref="C206:C208"/>
    <mergeCell ref="A209:A211"/>
    <mergeCell ref="B209:B211"/>
    <mergeCell ref="C209:C211"/>
    <mergeCell ref="A215:A217"/>
    <mergeCell ref="B215:B217"/>
    <mergeCell ref="C215:C217"/>
    <mergeCell ref="A188:A190"/>
    <mergeCell ref="B188:B190"/>
    <mergeCell ref="C188:C190"/>
    <mergeCell ref="A191:A193"/>
    <mergeCell ref="B191:B193"/>
    <mergeCell ref="C191:C193"/>
    <mergeCell ref="A182:A184"/>
    <mergeCell ref="B182:B184"/>
    <mergeCell ref="C182:C184"/>
    <mergeCell ref="A185:A187"/>
    <mergeCell ref="B185:B187"/>
    <mergeCell ref="C185:C187"/>
    <mergeCell ref="A179:A181"/>
    <mergeCell ref="B179:B181"/>
    <mergeCell ref="C179:C181"/>
    <mergeCell ref="A163:A165"/>
    <mergeCell ref="B163:B165"/>
    <mergeCell ref="C163:C165"/>
    <mergeCell ref="A166:C168"/>
    <mergeCell ref="A170:A172"/>
    <mergeCell ref="B170:B172"/>
    <mergeCell ref="C170:C172"/>
    <mergeCell ref="B160:B162"/>
    <mergeCell ref="C160:C162"/>
    <mergeCell ref="A151:A153"/>
    <mergeCell ref="B151:B153"/>
    <mergeCell ref="C151:C153"/>
    <mergeCell ref="A154:A156"/>
    <mergeCell ref="B154:B156"/>
    <mergeCell ref="C154:C156"/>
    <mergeCell ref="A176:A178"/>
    <mergeCell ref="B176:B178"/>
    <mergeCell ref="C176:C178"/>
    <mergeCell ref="A169:M169"/>
    <mergeCell ref="A173:A175"/>
    <mergeCell ref="B173:B175"/>
    <mergeCell ref="C173:C175"/>
    <mergeCell ref="A160:A162"/>
    <mergeCell ref="A157:A159"/>
    <mergeCell ref="B157:B159"/>
    <mergeCell ref="C157:C159"/>
    <mergeCell ref="A115:A117"/>
    <mergeCell ref="B115:B117"/>
    <mergeCell ref="C115:C117"/>
    <mergeCell ref="A118:C121"/>
    <mergeCell ref="A123:A125"/>
    <mergeCell ref="B123:B125"/>
    <mergeCell ref="C123:C125"/>
    <mergeCell ref="A145:A147"/>
    <mergeCell ref="B145:B147"/>
    <mergeCell ref="C145:C147"/>
    <mergeCell ref="A135:A137"/>
    <mergeCell ref="B135:B137"/>
    <mergeCell ref="C135:C137"/>
    <mergeCell ref="A138:C140"/>
    <mergeCell ref="A142:A144"/>
    <mergeCell ref="B142:B144"/>
    <mergeCell ref="C142:C144"/>
    <mergeCell ref="A122:M122"/>
    <mergeCell ref="A141:M141"/>
    <mergeCell ref="A126:A128"/>
    <mergeCell ref="B126:B128"/>
    <mergeCell ref="C126:C128"/>
    <mergeCell ref="A129:A131"/>
    <mergeCell ref="B129:B131"/>
    <mergeCell ref="A107:A110"/>
    <mergeCell ref="B107:B110"/>
    <mergeCell ref="C107:C110"/>
    <mergeCell ref="A111:A114"/>
    <mergeCell ref="B111:B114"/>
    <mergeCell ref="C111:C114"/>
    <mergeCell ref="A101:A103"/>
    <mergeCell ref="B101:B103"/>
    <mergeCell ref="C101:C103"/>
    <mergeCell ref="A104:A106"/>
    <mergeCell ref="B104:B106"/>
    <mergeCell ref="C104:C106"/>
    <mergeCell ref="A95:A97"/>
    <mergeCell ref="B95:B97"/>
    <mergeCell ref="C95:C97"/>
    <mergeCell ref="A98:A100"/>
    <mergeCell ref="B98:B100"/>
    <mergeCell ref="C98:C100"/>
    <mergeCell ref="A89:A91"/>
    <mergeCell ref="B89:B91"/>
    <mergeCell ref="C89:C91"/>
    <mergeCell ref="A92:A94"/>
    <mergeCell ref="B92:B94"/>
    <mergeCell ref="C92:C94"/>
    <mergeCell ref="B86:B88"/>
    <mergeCell ref="C86:C88"/>
    <mergeCell ref="A72:C74"/>
    <mergeCell ref="A76:A78"/>
    <mergeCell ref="B76:B78"/>
    <mergeCell ref="C76:C78"/>
    <mergeCell ref="A79:A81"/>
    <mergeCell ref="B79:B81"/>
    <mergeCell ref="C79:C81"/>
    <mergeCell ref="A83:A85"/>
    <mergeCell ref="B83:B85"/>
    <mergeCell ref="C83:C85"/>
    <mergeCell ref="A75:M75"/>
    <mergeCell ref="C129:C131"/>
    <mergeCell ref="A132:A134"/>
    <mergeCell ref="B132:B134"/>
    <mergeCell ref="C132:C134"/>
    <mergeCell ref="A148:A150"/>
    <mergeCell ref="B148:B150"/>
    <mergeCell ref="C148:C150"/>
    <mergeCell ref="A48:A50"/>
    <mergeCell ref="A39:A41"/>
    <mergeCell ref="B39:B41"/>
    <mergeCell ref="A63:A65"/>
    <mergeCell ref="B63:B65"/>
    <mergeCell ref="C63:C65"/>
    <mergeCell ref="A66:A68"/>
    <mergeCell ref="B66:B68"/>
    <mergeCell ref="C66:C68"/>
    <mergeCell ref="A57:A59"/>
    <mergeCell ref="B57:B59"/>
    <mergeCell ref="C57:C59"/>
    <mergeCell ref="A60:A62"/>
    <mergeCell ref="B60:B62"/>
    <mergeCell ref="C60:C62"/>
    <mergeCell ref="B51:B53"/>
    <mergeCell ref="A86:A88"/>
    <mergeCell ref="C69:C71"/>
    <mergeCell ref="A69:A71"/>
    <mergeCell ref="B69:B71"/>
    <mergeCell ref="C51:C53"/>
    <mergeCell ref="A54:A56"/>
    <mergeCell ref="B54:B56"/>
    <mergeCell ref="C54:C56"/>
    <mergeCell ref="A45:A47"/>
    <mergeCell ref="C39:C41"/>
    <mergeCell ref="A42:A44"/>
    <mergeCell ref="B42:B44"/>
    <mergeCell ref="C42:C44"/>
    <mergeCell ref="A51:A53"/>
    <mergeCell ref="C48:C50"/>
    <mergeCell ref="B48:B50"/>
    <mergeCell ref="B12:B14"/>
    <mergeCell ref="A15:A17"/>
    <mergeCell ref="B7:M7"/>
    <mergeCell ref="A8:A9"/>
    <mergeCell ref="B8:B9"/>
    <mergeCell ref="F8:M8"/>
    <mergeCell ref="A12:A14"/>
    <mergeCell ref="B45:B47"/>
    <mergeCell ref="C45:C47"/>
    <mergeCell ref="C12:C14"/>
    <mergeCell ref="A36:A38"/>
    <mergeCell ref="B36:B38"/>
    <mergeCell ref="A33:A35"/>
    <mergeCell ref="B33:B35"/>
    <mergeCell ref="C33:C35"/>
    <mergeCell ref="C36:C38"/>
    <mergeCell ref="B15:B17"/>
    <mergeCell ref="C15:C17"/>
    <mergeCell ref="A27:A29"/>
    <mergeCell ref="B27:B29"/>
    <mergeCell ref="C27:C29"/>
    <mergeCell ref="G2:M2"/>
    <mergeCell ref="G3:M3"/>
    <mergeCell ref="C221:C223"/>
    <mergeCell ref="A218:A220"/>
    <mergeCell ref="B218:B220"/>
    <mergeCell ref="C218:C220"/>
    <mergeCell ref="A224:A226"/>
    <mergeCell ref="B224:B226"/>
    <mergeCell ref="C224:C226"/>
    <mergeCell ref="B5:M5"/>
    <mergeCell ref="B6:M6"/>
    <mergeCell ref="C8:C9"/>
    <mergeCell ref="D8:D9"/>
    <mergeCell ref="E8:E9"/>
    <mergeCell ref="A11:M11"/>
    <mergeCell ref="A30:A32"/>
    <mergeCell ref="B30:B32"/>
    <mergeCell ref="C30:C32"/>
    <mergeCell ref="A20:A22"/>
    <mergeCell ref="B20:B22"/>
    <mergeCell ref="C20:C22"/>
    <mergeCell ref="A24:A26"/>
    <mergeCell ref="B24:B26"/>
    <mergeCell ref="C24:C26"/>
  </mergeCells>
  <pageMargins left="0.78740157480314965" right="0.23622047244094491" top="0.74803149606299213" bottom="0.35433070866141736" header="0" footer="0"/>
  <pageSetup paperSize="9" scale="81" fitToHeight="0" orientation="landscape" r:id="rId1"/>
  <headerFooter differentFirst="1">
    <oddHeader>&amp;C&amp;P</oddHead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N312"/>
  <sheetViews>
    <sheetView tabSelected="1" view="pageBreakPreview" topLeftCell="B1" zoomScale="150" zoomScaleNormal="100" zoomScaleSheetLayoutView="150" workbookViewId="0">
      <selection activeCell="D1" sqref="D1:J1"/>
    </sheetView>
  </sheetViews>
  <sheetFormatPr defaultColWidth="9.140625" defaultRowHeight="12" x14ac:dyDescent="0.2"/>
  <cols>
    <col min="1" max="1" width="6.28515625" style="33" customWidth="1"/>
    <col min="2" max="2" width="47.42578125" style="34" customWidth="1"/>
    <col min="3" max="3" width="24.140625" style="49" customWidth="1"/>
    <col min="4" max="4" width="12.5703125" style="39" customWidth="1"/>
    <col min="5" max="5" width="12.7109375" style="39" customWidth="1"/>
    <col min="6" max="8" width="13.5703125" style="39" customWidth="1"/>
    <col min="9" max="10" width="13.5703125" style="37" customWidth="1"/>
    <col min="11" max="16384" width="9.140625" style="37"/>
  </cols>
  <sheetData>
    <row r="1" spans="1:10" ht="105" customHeight="1" x14ac:dyDescent="0.2">
      <c r="C1" s="35"/>
      <c r="D1" s="109" t="s">
        <v>519</v>
      </c>
      <c r="E1" s="109"/>
      <c r="F1" s="109"/>
      <c r="G1" s="109"/>
      <c r="H1" s="109"/>
      <c r="I1" s="109"/>
      <c r="J1" s="109"/>
    </row>
    <row r="2" spans="1:10" ht="156" customHeight="1" x14ac:dyDescent="0.2">
      <c r="C2" s="35"/>
      <c r="D2" s="103" t="s">
        <v>512</v>
      </c>
      <c r="E2" s="103"/>
      <c r="F2" s="103"/>
      <c r="G2" s="103"/>
      <c r="H2" s="103"/>
      <c r="I2" s="103"/>
      <c r="J2" s="103"/>
    </row>
    <row r="3" spans="1:10" ht="15.75" customHeight="1" x14ac:dyDescent="0.2">
      <c r="A3" s="113" t="s">
        <v>13</v>
      </c>
      <c r="B3" s="113"/>
      <c r="C3" s="113"/>
      <c r="D3" s="113"/>
      <c r="E3" s="113"/>
      <c r="F3" s="113"/>
      <c r="G3" s="113"/>
      <c r="H3" s="113"/>
      <c r="I3" s="113"/>
      <c r="J3" s="113"/>
    </row>
    <row r="4" spans="1:10" ht="14.25" customHeight="1" x14ac:dyDescent="0.2">
      <c r="A4" s="113" t="s">
        <v>257</v>
      </c>
      <c r="B4" s="113"/>
      <c r="C4" s="113"/>
      <c r="D4" s="113"/>
      <c r="E4" s="113"/>
      <c r="F4" s="113"/>
      <c r="G4" s="113"/>
      <c r="H4" s="113"/>
      <c r="I4" s="113"/>
      <c r="J4" s="113"/>
    </row>
    <row r="5" spans="1:10" ht="7.5" customHeight="1" x14ac:dyDescent="0.2">
      <c r="B5" s="124"/>
      <c r="C5" s="124"/>
      <c r="D5" s="124"/>
      <c r="E5" s="124"/>
      <c r="F5" s="124"/>
      <c r="G5" s="124"/>
      <c r="H5" s="124"/>
    </row>
    <row r="6" spans="1:10" ht="22.5" customHeight="1" x14ac:dyDescent="0.2">
      <c r="A6" s="111" t="s">
        <v>318</v>
      </c>
      <c r="B6" s="110" t="s">
        <v>98</v>
      </c>
      <c r="C6" s="110" t="s">
        <v>255</v>
      </c>
      <c r="D6" s="110" t="s">
        <v>108</v>
      </c>
      <c r="E6" s="110" t="s">
        <v>9</v>
      </c>
      <c r="F6" s="110" t="s">
        <v>256</v>
      </c>
      <c r="G6" s="110"/>
      <c r="H6" s="110"/>
      <c r="I6" s="110"/>
      <c r="J6" s="110"/>
    </row>
    <row r="7" spans="1:10" ht="32.25" customHeight="1" x14ac:dyDescent="0.2">
      <c r="A7" s="111"/>
      <c r="B7" s="110"/>
      <c r="C7" s="110"/>
      <c r="D7" s="110"/>
      <c r="E7" s="110"/>
      <c r="F7" s="59" t="s">
        <v>337</v>
      </c>
      <c r="G7" s="59" t="s">
        <v>338</v>
      </c>
      <c r="H7" s="59" t="s">
        <v>339</v>
      </c>
      <c r="I7" s="55" t="s">
        <v>431</v>
      </c>
      <c r="J7" s="55" t="s">
        <v>432</v>
      </c>
    </row>
    <row r="8" spans="1:10" s="39" customFormat="1" x14ac:dyDescent="0.25">
      <c r="A8" s="60" t="s">
        <v>14</v>
      </c>
      <c r="B8" s="59" t="s">
        <v>107</v>
      </c>
      <c r="C8" s="59">
        <v>3</v>
      </c>
      <c r="D8" s="59">
        <v>4</v>
      </c>
      <c r="E8" s="59">
        <v>5</v>
      </c>
      <c r="F8" s="59">
        <v>14</v>
      </c>
      <c r="G8" s="59">
        <v>15</v>
      </c>
      <c r="H8" s="59">
        <v>16</v>
      </c>
      <c r="I8" s="55">
        <v>17</v>
      </c>
      <c r="J8" s="55">
        <v>18</v>
      </c>
    </row>
    <row r="9" spans="1:10" ht="15" customHeight="1" x14ac:dyDescent="0.2">
      <c r="A9" s="160" t="s">
        <v>40</v>
      </c>
      <c r="B9" s="161"/>
      <c r="C9" s="161"/>
      <c r="D9" s="161"/>
      <c r="E9" s="161"/>
      <c r="F9" s="161"/>
      <c r="G9" s="161"/>
      <c r="H9" s="161"/>
      <c r="I9" s="161"/>
      <c r="J9" s="161"/>
    </row>
    <row r="10" spans="1:10" ht="39" customHeight="1" x14ac:dyDescent="0.2">
      <c r="A10" s="115" t="s">
        <v>110</v>
      </c>
      <c r="B10" s="118" t="s">
        <v>291</v>
      </c>
      <c r="C10" s="121" t="s">
        <v>289</v>
      </c>
      <c r="D10" s="59" t="s">
        <v>109</v>
      </c>
      <c r="E10" s="43">
        <f>E11+E12</f>
        <v>1029.3</v>
      </c>
      <c r="F10" s="43">
        <f t="shared" ref="F10:J10" si="0">F11+F12</f>
        <v>204.9</v>
      </c>
      <c r="G10" s="43">
        <f t="shared" si="0"/>
        <v>160.6</v>
      </c>
      <c r="H10" s="43">
        <f t="shared" si="0"/>
        <v>233</v>
      </c>
      <c r="I10" s="43">
        <f t="shared" si="0"/>
        <v>215.4</v>
      </c>
      <c r="J10" s="43">
        <f t="shared" si="0"/>
        <v>215.4</v>
      </c>
    </row>
    <row r="11" spans="1:10" ht="20.25" customHeight="1" x14ac:dyDescent="0.2">
      <c r="A11" s="116"/>
      <c r="B11" s="119"/>
      <c r="C11" s="122"/>
      <c r="D11" s="59" t="s">
        <v>11</v>
      </c>
      <c r="E11" s="43">
        <f t="shared" ref="E11:E17" si="1">SUM(F11:J11)</f>
        <v>1029.3</v>
      </c>
      <c r="F11" s="43">
        <f>215.4-10.5</f>
        <v>204.9</v>
      </c>
      <c r="G11" s="43">
        <f>224-63.4</f>
        <v>160.6</v>
      </c>
      <c r="H11" s="43">
        <v>233</v>
      </c>
      <c r="I11" s="43">
        <v>215.4</v>
      </c>
      <c r="J11" s="43">
        <v>215.4</v>
      </c>
    </row>
    <row r="12" spans="1:10" ht="23.25" customHeight="1" x14ac:dyDescent="0.2">
      <c r="A12" s="117"/>
      <c r="B12" s="120"/>
      <c r="C12" s="123"/>
      <c r="D12" s="59" t="s">
        <v>10</v>
      </c>
      <c r="E12" s="43">
        <f t="shared" si="1"/>
        <v>0</v>
      </c>
      <c r="F12" s="43">
        <v>0</v>
      </c>
      <c r="G12" s="43">
        <v>0</v>
      </c>
      <c r="H12" s="43">
        <v>0</v>
      </c>
      <c r="I12" s="43">
        <v>0</v>
      </c>
      <c r="J12" s="43">
        <v>0</v>
      </c>
    </row>
    <row r="13" spans="1:10" ht="18" customHeight="1" x14ac:dyDescent="0.2">
      <c r="A13" s="115" t="s">
        <v>111</v>
      </c>
      <c r="B13" s="118" t="s">
        <v>516</v>
      </c>
      <c r="C13" s="121" t="s">
        <v>289</v>
      </c>
      <c r="D13" s="59" t="s">
        <v>109</v>
      </c>
      <c r="E13" s="43">
        <f t="shared" si="1"/>
        <v>210</v>
      </c>
      <c r="F13" s="43">
        <f t="shared" ref="F13:J13" si="2">F14+F15</f>
        <v>52</v>
      </c>
      <c r="G13" s="43">
        <f t="shared" si="2"/>
        <v>0</v>
      </c>
      <c r="H13" s="43">
        <f t="shared" si="2"/>
        <v>54</v>
      </c>
      <c r="I13" s="43">
        <f t="shared" si="2"/>
        <v>52</v>
      </c>
      <c r="J13" s="43">
        <f t="shared" si="2"/>
        <v>52</v>
      </c>
    </row>
    <row r="14" spans="1:10" ht="14.25" customHeight="1" x14ac:dyDescent="0.2">
      <c r="A14" s="116"/>
      <c r="B14" s="119"/>
      <c r="C14" s="122"/>
      <c r="D14" s="59" t="s">
        <v>11</v>
      </c>
      <c r="E14" s="43">
        <f t="shared" si="1"/>
        <v>210</v>
      </c>
      <c r="F14" s="43">
        <v>52</v>
      </c>
      <c r="G14" s="43">
        <v>0</v>
      </c>
      <c r="H14" s="43">
        <v>54</v>
      </c>
      <c r="I14" s="57">
        <v>52</v>
      </c>
      <c r="J14" s="57">
        <v>52</v>
      </c>
    </row>
    <row r="15" spans="1:10" ht="12" customHeight="1" x14ac:dyDescent="0.2">
      <c r="A15" s="117"/>
      <c r="B15" s="120"/>
      <c r="C15" s="123"/>
      <c r="D15" s="59" t="s">
        <v>10</v>
      </c>
      <c r="E15" s="43">
        <f t="shared" si="1"/>
        <v>0</v>
      </c>
      <c r="F15" s="43">
        <v>0</v>
      </c>
      <c r="G15" s="43">
        <v>0</v>
      </c>
      <c r="H15" s="43">
        <v>0</v>
      </c>
      <c r="I15" s="43">
        <v>0</v>
      </c>
      <c r="J15" s="43">
        <v>0</v>
      </c>
    </row>
    <row r="16" spans="1:10" ht="38.25" customHeight="1" x14ac:dyDescent="0.2">
      <c r="A16" s="60" t="s">
        <v>112</v>
      </c>
      <c r="B16" s="61" t="s">
        <v>15</v>
      </c>
      <c r="C16" s="59" t="s">
        <v>289</v>
      </c>
      <c r="D16" s="59" t="s">
        <v>359</v>
      </c>
      <c r="E16" s="43">
        <f t="shared" si="1"/>
        <v>0</v>
      </c>
      <c r="F16" s="43">
        <v>0</v>
      </c>
      <c r="G16" s="43">
        <v>0</v>
      </c>
      <c r="H16" s="43">
        <v>0</v>
      </c>
      <c r="I16" s="43">
        <v>0</v>
      </c>
      <c r="J16" s="43">
        <v>0</v>
      </c>
    </row>
    <row r="17" spans="1:13" ht="49.5" customHeight="1" x14ac:dyDescent="0.2">
      <c r="A17" s="60" t="s">
        <v>113</v>
      </c>
      <c r="B17" s="61" t="s">
        <v>16</v>
      </c>
      <c r="C17" s="59" t="s">
        <v>289</v>
      </c>
      <c r="D17" s="59" t="s">
        <v>359</v>
      </c>
      <c r="E17" s="43">
        <f t="shared" si="1"/>
        <v>0</v>
      </c>
      <c r="F17" s="43">
        <v>0</v>
      </c>
      <c r="G17" s="43">
        <v>0</v>
      </c>
      <c r="H17" s="43">
        <v>0</v>
      </c>
      <c r="I17" s="43">
        <v>0</v>
      </c>
      <c r="J17" s="43">
        <v>0</v>
      </c>
    </row>
    <row r="18" spans="1:13" ht="18" customHeight="1" x14ac:dyDescent="0.2">
      <c r="A18" s="115" t="s">
        <v>114</v>
      </c>
      <c r="B18" s="118" t="s">
        <v>320</v>
      </c>
      <c r="C18" s="121" t="s">
        <v>289</v>
      </c>
      <c r="D18" s="59" t="s">
        <v>109</v>
      </c>
      <c r="E18" s="43">
        <f>E19+E20</f>
        <v>146.9</v>
      </c>
      <c r="F18" s="43">
        <f t="shared" ref="F18:J18" si="3">F19+F20</f>
        <v>28.7</v>
      </c>
      <c r="G18" s="43">
        <f t="shared" si="3"/>
        <v>29.8</v>
      </c>
      <c r="H18" s="43">
        <f t="shared" si="3"/>
        <v>31</v>
      </c>
      <c r="I18" s="43">
        <f t="shared" si="3"/>
        <v>28.7</v>
      </c>
      <c r="J18" s="43">
        <f t="shared" si="3"/>
        <v>28.7</v>
      </c>
    </row>
    <row r="19" spans="1:13" ht="14.25" customHeight="1" x14ac:dyDescent="0.2">
      <c r="A19" s="116"/>
      <c r="B19" s="119"/>
      <c r="C19" s="122"/>
      <c r="D19" s="59" t="s">
        <v>11</v>
      </c>
      <c r="E19" s="43">
        <f>SUM(F19:J19)</f>
        <v>146.9</v>
      </c>
      <c r="F19" s="43">
        <v>28.7</v>
      </c>
      <c r="G19" s="43">
        <v>29.8</v>
      </c>
      <c r="H19" s="43">
        <v>31</v>
      </c>
      <c r="I19" s="43">
        <v>28.7</v>
      </c>
      <c r="J19" s="43">
        <v>28.7</v>
      </c>
    </row>
    <row r="20" spans="1:13" ht="12" customHeight="1" x14ac:dyDescent="0.2">
      <c r="A20" s="117"/>
      <c r="B20" s="120"/>
      <c r="C20" s="123"/>
      <c r="D20" s="59" t="s">
        <v>10</v>
      </c>
      <c r="E20" s="43">
        <f>SUM(F20:J20)</f>
        <v>0</v>
      </c>
      <c r="F20" s="43">
        <v>0</v>
      </c>
      <c r="G20" s="43">
        <v>0</v>
      </c>
      <c r="H20" s="43">
        <v>0</v>
      </c>
      <c r="I20" s="43">
        <v>0</v>
      </c>
      <c r="J20" s="43">
        <v>0</v>
      </c>
    </row>
    <row r="21" spans="1:13" ht="23.25" customHeight="1" x14ac:dyDescent="0.2">
      <c r="A21" s="60" t="s">
        <v>115</v>
      </c>
      <c r="B21" s="61" t="s">
        <v>17</v>
      </c>
      <c r="C21" s="59" t="s">
        <v>289</v>
      </c>
      <c r="D21" s="59" t="s">
        <v>359</v>
      </c>
      <c r="E21" s="43">
        <f>F21+G21+H21</f>
        <v>0</v>
      </c>
      <c r="F21" s="43">
        <v>0</v>
      </c>
      <c r="G21" s="43">
        <v>0</v>
      </c>
      <c r="H21" s="43">
        <v>0</v>
      </c>
      <c r="I21" s="43">
        <v>0</v>
      </c>
      <c r="J21" s="43">
        <v>0</v>
      </c>
    </row>
    <row r="22" spans="1:13" ht="18.75" customHeight="1" x14ac:dyDescent="0.2">
      <c r="A22" s="115" t="s">
        <v>116</v>
      </c>
      <c r="B22" s="118" t="s">
        <v>18</v>
      </c>
      <c r="C22" s="121" t="s">
        <v>289</v>
      </c>
      <c r="D22" s="59" t="s">
        <v>109</v>
      </c>
      <c r="E22" s="43">
        <f>E23+E24</f>
        <v>134</v>
      </c>
      <c r="F22" s="43">
        <f t="shared" ref="F22:J22" si="4">F23+F24</f>
        <v>33</v>
      </c>
      <c r="G22" s="43">
        <f t="shared" si="4"/>
        <v>0</v>
      </c>
      <c r="H22" s="43">
        <f t="shared" si="4"/>
        <v>35</v>
      </c>
      <c r="I22" s="43">
        <f t="shared" si="4"/>
        <v>33</v>
      </c>
      <c r="J22" s="43">
        <f t="shared" si="4"/>
        <v>33</v>
      </c>
    </row>
    <row r="23" spans="1:13" ht="14.25" customHeight="1" x14ac:dyDescent="0.2">
      <c r="A23" s="116"/>
      <c r="B23" s="119"/>
      <c r="C23" s="122"/>
      <c r="D23" s="59" t="s">
        <v>11</v>
      </c>
      <c r="E23" s="43">
        <f>SUM(F23:J23)</f>
        <v>134</v>
      </c>
      <c r="F23" s="43">
        <v>33</v>
      </c>
      <c r="G23" s="43">
        <v>0</v>
      </c>
      <c r="H23" s="43">
        <v>35</v>
      </c>
      <c r="I23" s="43">
        <v>33</v>
      </c>
      <c r="J23" s="43">
        <v>33</v>
      </c>
    </row>
    <row r="24" spans="1:13" ht="14.25" customHeight="1" x14ac:dyDescent="0.2">
      <c r="A24" s="117"/>
      <c r="B24" s="120"/>
      <c r="C24" s="123"/>
      <c r="D24" s="59" t="s">
        <v>10</v>
      </c>
      <c r="E24" s="43">
        <f>SUM(F24:J24)</f>
        <v>0</v>
      </c>
      <c r="F24" s="43">
        <v>0</v>
      </c>
      <c r="G24" s="43">
        <v>0</v>
      </c>
      <c r="H24" s="43">
        <v>0</v>
      </c>
      <c r="I24" s="43">
        <v>0</v>
      </c>
      <c r="J24" s="43">
        <v>0</v>
      </c>
    </row>
    <row r="25" spans="1:13" ht="13.5" customHeight="1" x14ac:dyDescent="0.2">
      <c r="A25" s="115" t="s">
        <v>117</v>
      </c>
      <c r="B25" s="118" t="s">
        <v>19</v>
      </c>
      <c r="C25" s="121" t="s">
        <v>289</v>
      </c>
      <c r="D25" s="59" t="s">
        <v>109</v>
      </c>
      <c r="E25" s="43">
        <f>E26+E27</f>
        <v>106</v>
      </c>
      <c r="F25" s="43">
        <f t="shared" ref="F25:J25" si="5">F26+F27</f>
        <v>26</v>
      </c>
      <c r="G25" s="43">
        <f t="shared" si="5"/>
        <v>0</v>
      </c>
      <c r="H25" s="43">
        <f t="shared" si="5"/>
        <v>28</v>
      </c>
      <c r="I25" s="43">
        <f t="shared" si="5"/>
        <v>26</v>
      </c>
      <c r="J25" s="43">
        <f t="shared" si="5"/>
        <v>26</v>
      </c>
    </row>
    <row r="26" spans="1:13" ht="14.25" customHeight="1" x14ac:dyDescent="0.2">
      <c r="A26" s="116"/>
      <c r="B26" s="119"/>
      <c r="C26" s="122"/>
      <c r="D26" s="59" t="s">
        <v>11</v>
      </c>
      <c r="E26" s="43">
        <f>SUM(F26:J26)</f>
        <v>106</v>
      </c>
      <c r="F26" s="43">
        <v>26</v>
      </c>
      <c r="G26" s="43">
        <v>0</v>
      </c>
      <c r="H26" s="43">
        <v>28</v>
      </c>
      <c r="I26" s="43">
        <v>26</v>
      </c>
      <c r="J26" s="43">
        <v>26</v>
      </c>
    </row>
    <row r="27" spans="1:13" ht="14.25" customHeight="1" x14ac:dyDescent="0.2">
      <c r="A27" s="117"/>
      <c r="B27" s="120"/>
      <c r="C27" s="123"/>
      <c r="D27" s="59" t="s">
        <v>10</v>
      </c>
      <c r="E27" s="43">
        <f t="shared" ref="E27:E57" si="6">SUM(F27:H27)</f>
        <v>0</v>
      </c>
      <c r="F27" s="43">
        <v>0</v>
      </c>
      <c r="G27" s="43">
        <v>0</v>
      </c>
      <c r="H27" s="43">
        <v>0</v>
      </c>
      <c r="I27" s="43">
        <v>0</v>
      </c>
      <c r="J27" s="43">
        <v>0</v>
      </c>
    </row>
    <row r="28" spans="1:13" ht="43.5" customHeight="1" x14ac:dyDescent="0.2">
      <c r="A28" s="115" t="s">
        <v>118</v>
      </c>
      <c r="B28" s="118" t="s">
        <v>241</v>
      </c>
      <c r="C28" s="121" t="s">
        <v>289</v>
      </c>
      <c r="D28" s="59" t="s">
        <v>109</v>
      </c>
      <c r="E28" s="43">
        <f>E29+E30</f>
        <v>100</v>
      </c>
      <c r="F28" s="43">
        <f t="shared" ref="F28:J28" si="7">F29+F30</f>
        <v>0</v>
      </c>
      <c r="G28" s="43">
        <f t="shared" si="7"/>
        <v>50</v>
      </c>
      <c r="H28" s="43">
        <f t="shared" si="7"/>
        <v>50</v>
      </c>
      <c r="I28" s="43">
        <f t="shared" si="7"/>
        <v>0</v>
      </c>
      <c r="J28" s="43">
        <f t="shared" si="7"/>
        <v>0</v>
      </c>
    </row>
    <row r="29" spans="1:13" ht="14.25" customHeight="1" x14ac:dyDescent="0.2">
      <c r="A29" s="116"/>
      <c r="B29" s="119"/>
      <c r="C29" s="122"/>
      <c r="D29" s="59" t="s">
        <v>11</v>
      </c>
      <c r="E29" s="43">
        <f>SUM(F29:J29)</f>
        <v>100</v>
      </c>
      <c r="F29" s="43">
        <v>0</v>
      </c>
      <c r="G29" s="43">
        <v>50</v>
      </c>
      <c r="H29" s="43">
        <v>50</v>
      </c>
      <c r="I29" s="57">
        <v>0</v>
      </c>
      <c r="J29" s="57">
        <v>0</v>
      </c>
    </row>
    <row r="30" spans="1:13" ht="14.25" customHeight="1" x14ac:dyDescent="0.2">
      <c r="A30" s="117"/>
      <c r="B30" s="120"/>
      <c r="C30" s="123"/>
      <c r="D30" s="59" t="s">
        <v>10</v>
      </c>
      <c r="E30" s="43">
        <f>SUM(F30:J30)</f>
        <v>0</v>
      </c>
      <c r="F30" s="43">
        <v>0</v>
      </c>
      <c r="G30" s="43">
        <v>0</v>
      </c>
      <c r="H30" s="43">
        <v>0</v>
      </c>
      <c r="I30" s="43">
        <v>0</v>
      </c>
      <c r="J30" s="43">
        <v>0</v>
      </c>
    </row>
    <row r="31" spans="1:13" ht="19.5" customHeight="1" x14ac:dyDescent="0.2">
      <c r="A31" s="115" t="s">
        <v>119</v>
      </c>
      <c r="B31" s="118" t="s">
        <v>20</v>
      </c>
      <c r="C31" s="121" t="s">
        <v>289</v>
      </c>
      <c r="D31" s="59" t="s">
        <v>109</v>
      </c>
      <c r="E31" s="43">
        <f>E32+E33</f>
        <v>146.9</v>
      </c>
      <c r="F31" s="43">
        <f t="shared" ref="F31:J31" si="8">F32+F33</f>
        <v>28.7</v>
      </c>
      <c r="G31" s="43">
        <f t="shared" si="8"/>
        <v>29.8</v>
      </c>
      <c r="H31" s="43">
        <f>H32+H33</f>
        <v>31</v>
      </c>
      <c r="I31" s="43">
        <f>I32+I33</f>
        <v>28.7</v>
      </c>
      <c r="J31" s="43">
        <f t="shared" si="8"/>
        <v>28.7</v>
      </c>
      <c r="K31" s="46"/>
      <c r="L31" s="46"/>
      <c r="M31" s="46"/>
    </row>
    <row r="32" spans="1:13" ht="15.75" customHeight="1" x14ac:dyDescent="0.2">
      <c r="A32" s="116"/>
      <c r="B32" s="119"/>
      <c r="C32" s="122"/>
      <c r="D32" s="59" t="s">
        <v>11</v>
      </c>
      <c r="E32" s="43">
        <f>SUM(F32:J32)</f>
        <v>146.9</v>
      </c>
      <c r="F32" s="43">
        <v>28.7</v>
      </c>
      <c r="G32" s="43">
        <v>29.8</v>
      </c>
      <c r="H32" s="43">
        <v>31</v>
      </c>
      <c r="I32" s="43">
        <v>28.7</v>
      </c>
      <c r="J32" s="43">
        <v>28.7</v>
      </c>
    </row>
    <row r="33" spans="1:14" ht="13.5" customHeight="1" x14ac:dyDescent="0.2">
      <c r="A33" s="117"/>
      <c r="B33" s="120"/>
      <c r="C33" s="123"/>
      <c r="D33" s="59" t="s">
        <v>10</v>
      </c>
      <c r="E33" s="43">
        <f>SUM(F33:H33)</f>
        <v>0</v>
      </c>
      <c r="F33" s="43">
        <v>0</v>
      </c>
      <c r="G33" s="43">
        <v>0</v>
      </c>
      <c r="H33" s="43">
        <v>0</v>
      </c>
      <c r="I33" s="43">
        <v>0</v>
      </c>
      <c r="J33" s="43">
        <v>0</v>
      </c>
    </row>
    <row r="34" spans="1:14" ht="29.25" customHeight="1" x14ac:dyDescent="0.2">
      <c r="A34" s="115" t="s">
        <v>120</v>
      </c>
      <c r="B34" s="118" t="s">
        <v>421</v>
      </c>
      <c r="C34" s="121" t="s">
        <v>289</v>
      </c>
      <c r="D34" s="59" t="s">
        <v>109</v>
      </c>
      <c r="E34" s="43">
        <f>E35+E36</f>
        <v>186.5</v>
      </c>
      <c r="F34" s="43">
        <f t="shared" ref="F34:J34" si="9">F36+F35</f>
        <v>36.4</v>
      </c>
      <c r="G34" s="43">
        <f t="shared" si="9"/>
        <v>37.9</v>
      </c>
      <c r="H34" s="43">
        <f t="shared" si="9"/>
        <v>39.4</v>
      </c>
      <c r="I34" s="43">
        <f t="shared" si="9"/>
        <v>36.4</v>
      </c>
      <c r="J34" s="43">
        <f t="shared" si="9"/>
        <v>36.4</v>
      </c>
    </row>
    <row r="35" spans="1:14" ht="14.25" customHeight="1" x14ac:dyDescent="0.2">
      <c r="A35" s="116"/>
      <c r="B35" s="119"/>
      <c r="C35" s="122"/>
      <c r="D35" s="59" t="s">
        <v>11</v>
      </c>
      <c r="E35" s="43">
        <f>SUM(F35:J35)</f>
        <v>186.5</v>
      </c>
      <c r="F35" s="43">
        <v>36.4</v>
      </c>
      <c r="G35" s="43">
        <v>37.9</v>
      </c>
      <c r="H35" s="43">
        <v>39.4</v>
      </c>
      <c r="I35" s="43">
        <v>36.4</v>
      </c>
      <c r="J35" s="43">
        <v>36.4</v>
      </c>
    </row>
    <row r="36" spans="1:14" ht="15" customHeight="1" x14ac:dyDescent="0.2">
      <c r="A36" s="117"/>
      <c r="B36" s="120"/>
      <c r="C36" s="123"/>
      <c r="D36" s="59" t="s">
        <v>10</v>
      </c>
      <c r="E36" s="43">
        <f>SUM(F36:J36)</f>
        <v>0</v>
      </c>
      <c r="F36" s="43">
        <v>0</v>
      </c>
      <c r="G36" s="43">
        <v>0</v>
      </c>
      <c r="H36" s="43">
        <v>0</v>
      </c>
      <c r="I36" s="43">
        <v>0</v>
      </c>
      <c r="J36" s="43">
        <v>0</v>
      </c>
    </row>
    <row r="37" spans="1:14" ht="15" customHeight="1" x14ac:dyDescent="0.2">
      <c r="A37" s="115" t="s">
        <v>121</v>
      </c>
      <c r="B37" s="118" t="s">
        <v>21</v>
      </c>
      <c r="C37" s="121" t="s">
        <v>190</v>
      </c>
      <c r="D37" s="59" t="s">
        <v>109</v>
      </c>
      <c r="E37" s="43">
        <f>E38+E39</f>
        <v>78645.8</v>
      </c>
      <c r="F37" s="43">
        <f t="shared" ref="F37:J37" si="10">F38+F39</f>
        <v>15645.6</v>
      </c>
      <c r="G37" s="43">
        <f t="shared" si="10"/>
        <v>15795.6</v>
      </c>
      <c r="H37" s="43">
        <f t="shared" si="10"/>
        <v>15913.4</v>
      </c>
      <c r="I37" s="43">
        <f t="shared" si="10"/>
        <v>15645.6</v>
      </c>
      <c r="J37" s="43">
        <f t="shared" si="10"/>
        <v>15645.6</v>
      </c>
      <c r="K37" s="46"/>
    </row>
    <row r="38" spans="1:14" ht="14.25" customHeight="1" x14ac:dyDescent="0.2">
      <c r="A38" s="116"/>
      <c r="B38" s="119"/>
      <c r="C38" s="122"/>
      <c r="D38" s="59" t="s">
        <v>11</v>
      </c>
      <c r="E38" s="43">
        <f>SUM(F38:J38)</f>
        <v>78645.8</v>
      </c>
      <c r="F38" s="43">
        <v>15645.6</v>
      </c>
      <c r="G38" s="43">
        <v>15795.6</v>
      </c>
      <c r="H38" s="43">
        <v>15913.4</v>
      </c>
      <c r="I38" s="43">
        <v>15645.6</v>
      </c>
      <c r="J38" s="43">
        <v>15645.6</v>
      </c>
    </row>
    <row r="39" spans="1:14" ht="12.75" customHeight="1" x14ac:dyDescent="0.2">
      <c r="A39" s="117"/>
      <c r="B39" s="120"/>
      <c r="C39" s="123"/>
      <c r="D39" s="59" t="s">
        <v>10</v>
      </c>
      <c r="E39" s="43">
        <f t="shared" si="6"/>
        <v>0</v>
      </c>
      <c r="F39" s="43">
        <v>0</v>
      </c>
      <c r="G39" s="43">
        <v>0</v>
      </c>
      <c r="H39" s="43">
        <v>0</v>
      </c>
      <c r="I39" s="43">
        <v>0</v>
      </c>
      <c r="J39" s="43">
        <v>0</v>
      </c>
    </row>
    <row r="40" spans="1:14" ht="23.25" customHeight="1" x14ac:dyDescent="0.2">
      <c r="A40" s="115" t="s">
        <v>122</v>
      </c>
      <c r="B40" s="118" t="s">
        <v>412</v>
      </c>
      <c r="C40" s="121" t="s">
        <v>261</v>
      </c>
      <c r="D40" s="59" t="s">
        <v>109</v>
      </c>
      <c r="E40" s="43">
        <f>E41+E42</f>
        <v>530</v>
      </c>
      <c r="F40" s="43">
        <f t="shared" ref="F40:J40" si="11">F42+F41</f>
        <v>103.5</v>
      </c>
      <c r="G40" s="43">
        <f t="shared" si="11"/>
        <v>107.6</v>
      </c>
      <c r="H40" s="43">
        <f t="shared" si="11"/>
        <v>111.9</v>
      </c>
      <c r="I40" s="43">
        <f t="shared" si="11"/>
        <v>103.5</v>
      </c>
      <c r="J40" s="43">
        <f t="shared" si="11"/>
        <v>103.5</v>
      </c>
      <c r="K40" s="46"/>
    </row>
    <row r="41" spans="1:14" ht="14.25" customHeight="1" x14ac:dyDescent="0.2">
      <c r="A41" s="116"/>
      <c r="B41" s="119"/>
      <c r="C41" s="122"/>
      <c r="D41" s="59" t="s">
        <v>11</v>
      </c>
      <c r="E41" s="43">
        <f>SUM(F41:J41)</f>
        <v>530</v>
      </c>
      <c r="F41" s="43">
        <v>103.5</v>
      </c>
      <c r="G41" s="43">
        <v>107.6</v>
      </c>
      <c r="H41" s="43">
        <v>111.9</v>
      </c>
      <c r="I41" s="43">
        <v>103.5</v>
      </c>
      <c r="J41" s="43">
        <v>103.5</v>
      </c>
    </row>
    <row r="42" spans="1:14" ht="19.5" customHeight="1" x14ac:dyDescent="0.2">
      <c r="A42" s="117"/>
      <c r="B42" s="120"/>
      <c r="C42" s="123"/>
      <c r="D42" s="59" t="s">
        <v>10</v>
      </c>
      <c r="E42" s="43">
        <f>SUM(F42:J42)</f>
        <v>0</v>
      </c>
      <c r="F42" s="43">
        <v>0</v>
      </c>
      <c r="G42" s="43">
        <v>0</v>
      </c>
      <c r="H42" s="43">
        <v>0</v>
      </c>
      <c r="I42" s="43">
        <v>0</v>
      </c>
      <c r="J42" s="43">
        <v>0</v>
      </c>
    </row>
    <row r="43" spans="1:14" ht="22.5" customHeight="1" x14ac:dyDescent="0.2">
      <c r="A43" s="115" t="s">
        <v>123</v>
      </c>
      <c r="B43" s="118" t="s">
        <v>236</v>
      </c>
      <c r="C43" s="121" t="s">
        <v>261</v>
      </c>
      <c r="D43" s="59" t="s">
        <v>109</v>
      </c>
      <c r="E43" s="43">
        <f>E44+E45</f>
        <v>236.2</v>
      </c>
      <c r="F43" s="43">
        <f t="shared" ref="F43:J43" si="12">F44+F45</f>
        <v>46.1</v>
      </c>
      <c r="G43" s="43">
        <f t="shared" si="12"/>
        <v>48</v>
      </c>
      <c r="H43" s="43">
        <f t="shared" si="12"/>
        <v>49.9</v>
      </c>
      <c r="I43" s="43">
        <f t="shared" si="12"/>
        <v>46.1</v>
      </c>
      <c r="J43" s="43">
        <f t="shared" si="12"/>
        <v>46.1</v>
      </c>
    </row>
    <row r="44" spans="1:14" ht="14.25" customHeight="1" x14ac:dyDescent="0.2">
      <c r="A44" s="116"/>
      <c r="B44" s="119"/>
      <c r="C44" s="122"/>
      <c r="D44" s="59" t="s">
        <v>11</v>
      </c>
      <c r="E44" s="43">
        <f>SUM(F44:J44)</f>
        <v>236.2</v>
      </c>
      <c r="F44" s="43">
        <v>46.1</v>
      </c>
      <c r="G44" s="43">
        <v>48</v>
      </c>
      <c r="H44" s="43">
        <v>49.9</v>
      </c>
      <c r="I44" s="43">
        <v>46.1</v>
      </c>
      <c r="J44" s="43">
        <v>46.1</v>
      </c>
    </row>
    <row r="45" spans="1:14" ht="24.75" customHeight="1" x14ac:dyDescent="0.2">
      <c r="A45" s="117"/>
      <c r="B45" s="120"/>
      <c r="C45" s="123"/>
      <c r="D45" s="59" t="s">
        <v>10</v>
      </c>
      <c r="E45" s="43">
        <f t="shared" si="6"/>
        <v>0</v>
      </c>
      <c r="F45" s="43">
        <v>0</v>
      </c>
      <c r="G45" s="43">
        <v>0</v>
      </c>
      <c r="H45" s="43">
        <v>0</v>
      </c>
      <c r="I45" s="43">
        <v>0</v>
      </c>
      <c r="J45" s="43">
        <v>0</v>
      </c>
      <c r="L45" s="46"/>
      <c r="M45" s="46"/>
      <c r="N45" s="46"/>
    </row>
    <row r="46" spans="1:14" ht="16.5" customHeight="1" x14ac:dyDescent="0.2">
      <c r="A46" s="115" t="s">
        <v>124</v>
      </c>
      <c r="B46" s="118" t="s">
        <v>237</v>
      </c>
      <c r="C46" s="121" t="s">
        <v>249</v>
      </c>
      <c r="D46" s="59" t="s">
        <v>109</v>
      </c>
      <c r="E46" s="43">
        <f>E47+E48</f>
        <v>386.1</v>
      </c>
      <c r="F46" s="43">
        <f t="shared" ref="F46:J46" si="13">F47+F48</f>
        <v>75.400000000000006</v>
      </c>
      <c r="G46" s="43">
        <f t="shared" si="13"/>
        <v>78.400000000000006</v>
      </c>
      <c r="H46" s="43">
        <f t="shared" si="13"/>
        <v>81.5</v>
      </c>
      <c r="I46" s="43">
        <f t="shared" si="13"/>
        <v>75.400000000000006</v>
      </c>
      <c r="J46" s="43">
        <f t="shared" si="13"/>
        <v>75.400000000000006</v>
      </c>
    </row>
    <row r="47" spans="1:14" ht="16.5" customHeight="1" x14ac:dyDescent="0.2">
      <c r="A47" s="116"/>
      <c r="B47" s="119"/>
      <c r="C47" s="122"/>
      <c r="D47" s="59" t="s">
        <v>11</v>
      </c>
      <c r="E47" s="43">
        <f>SUM(F47:J47)</f>
        <v>386.1</v>
      </c>
      <c r="F47" s="43">
        <v>75.400000000000006</v>
      </c>
      <c r="G47" s="43">
        <v>78.400000000000006</v>
      </c>
      <c r="H47" s="43">
        <v>81.5</v>
      </c>
      <c r="I47" s="43">
        <v>75.400000000000006</v>
      </c>
      <c r="J47" s="43">
        <v>75.400000000000006</v>
      </c>
    </row>
    <row r="48" spans="1:14" ht="25.5" customHeight="1" x14ac:dyDescent="0.2">
      <c r="A48" s="117"/>
      <c r="B48" s="120"/>
      <c r="C48" s="123"/>
      <c r="D48" s="59" t="s">
        <v>10</v>
      </c>
      <c r="E48" s="43">
        <f t="shared" si="6"/>
        <v>0</v>
      </c>
      <c r="F48" s="43">
        <v>0</v>
      </c>
      <c r="G48" s="43">
        <v>0</v>
      </c>
      <c r="H48" s="43">
        <v>0</v>
      </c>
      <c r="I48" s="43">
        <v>0</v>
      </c>
      <c r="J48" s="43">
        <v>0</v>
      </c>
    </row>
    <row r="49" spans="1:11" ht="36" customHeight="1" x14ac:dyDescent="0.2">
      <c r="A49" s="115" t="s">
        <v>125</v>
      </c>
      <c r="B49" s="118" t="s">
        <v>22</v>
      </c>
      <c r="C49" s="121" t="s">
        <v>249</v>
      </c>
      <c r="D49" s="59" t="s">
        <v>109</v>
      </c>
      <c r="E49" s="43">
        <f>E50+E51</f>
        <v>80</v>
      </c>
      <c r="F49" s="43">
        <f t="shared" ref="F49:J49" si="14">F50+F51</f>
        <v>0</v>
      </c>
      <c r="G49" s="43">
        <f t="shared" si="14"/>
        <v>0</v>
      </c>
      <c r="H49" s="43">
        <f t="shared" si="14"/>
        <v>80</v>
      </c>
      <c r="I49" s="43">
        <f t="shared" si="14"/>
        <v>0</v>
      </c>
      <c r="J49" s="43">
        <f t="shared" si="14"/>
        <v>0</v>
      </c>
    </row>
    <row r="50" spans="1:11" ht="14.25" customHeight="1" x14ac:dyDescent="0.2">
      <c r="A50" s="116"/>
      <c r="B50" s="119"/>
      <c r="C50" s="122"/>
      <c r="D50" s="59" t="s">
        <v>11</v>
      </c>
      <c r="E50" s="43">
        <f>SUM(F50:J50)</f>
        <v>80</v>
      </c>
      <c r="F50" s="43">
        <v>0</v>
      </c>
      <c r="G50" s="43">
        <v>0</v>
      </c>
      <c r="H50" s="43">
        <v>80</v>
      </c>
      <c r="I50" s="57">
        <v>0</v>
      </c>
      <c r="J50" s="57">
        <v>0</v>
      </c>
    </row>
    <row r="51" spans="1:11" ht="14.25" customHeight="1" x14ac:dyDescent="0.2">
      <c r="A51" s="117"/>
      <c r="B51" s="120"/>
      <c r="C51" s="123"/>
      <c r="D51" s="59" t="s">
        <v>10</v>
      </c>
      <c r="E51" s="43">
        <f t="shared" si="6"/>
        <v>0</v>
      </c>
      <c r="F51" s="43">
        <v>0</v>
      </c>
      <c r="G51" s="43">
        <v>0</v>
      </c>
      <c r="H51" s="43">
        <v>0</v>
      </c>
      <c r="I51" s="43">
        <v>0</v>
      </c>
      <c r="J51" s="43">
        <v>0</v>
      </c>
    </row>
    <row r="52" spans="1:11" ht="32.25" customHeight="1" x14ac:dyDescent="0.2">
      <c r="A52" s="115" t="s">
        <v>126</v>
      </c>
      <c r="B52" s="118" t="s">
        <v>23</v>
      </c>
      <c r="C52" s="121" t="s">
        <v>249</v>
      </c>
      <c r="D52" s="59" t="s">
        <v>109</v>
      </c>
      <c r="E52" s="43">
        <f>E53+E54</f>
        <v>0</v>
      </c>
      <c r="F52" s="43">
        <f t="shared" ref="F52:J52" si="15">F53+F54</f>
        <v>0</v>
      </c>
      <c r="G52" s="43">
        <f t="shared" si="15"/>
        <v>0</v>
      </c>
      <c r="H52" s="43">
        <f t="shared" si="15"/>
        <v>0</v>
      </c>
      <c r="I52" s="43">
        <f t="shared" si="15"/>
        <v>0</v>
      </c>
      <c r="J52" s="43">
        <f t="shared" si="15"/>
        <v>0</v>
      </c>
    </row>
    <row r="53" spans="1:11" ht="14.25" customHeight="1" x14ac:dyDescent="0.2">
      <c r="A53" s="116"/>
      <c r="B53" s="119"/>
      <c r="C53" s="122"/>
      <c r="D53" s="59" t="s">
        <v>11</v>
      </c>
      <c r="E53" s="43">
        <f>SUM(F53:J53)</f>
        <v>0</v>
      </c>
      <c r="F53" s="43">
        <v>0</v>
      </c>
      <c r="G53" s="43">
        <v>0</v>
      </c>
      <c r="H53" s="43">
        <f t="shared" ref="H53" si="16">G53+(G53/100*4)</f>
        <v>0</v>
      </c>
      <c r="I53" s="43">
        <f t="shared" ref="I53" si="17">H53+(H53/100*4)</f>
        <v>0</v>
      </c>
      <c r="J53" s="43">
        <f t="shared" ref="J53" si="18">I53+(I53/100*4)</f>
        <v>0</v>
      </c>
    </row>
    <row r="54" spans="1:11" ht="14.25" customHeight="1" x14ac:dyDescent="0.2">
      <c r="A54" s="117"/>
      <c r="B54" s="120"/>
      <c r="C54" s="123"/>
      <c r="D54" s="59" t="s">
        <v>10</v>
      </c>
      <c r="E54" s="43">
        <f>SUM(F54:J54)</f>
        <v>0</v>
      </c>
      <c r="F54" s="43">
        <v>0</v>
      </c>
      <c r="G54" s="43">
        <v>0</v>
      </c>
      <c r="H54" s="43">
        <v>0</v>
      </c>
      <c r="I54" s="43">
        <v>0</v>
      </c>
      <c r="J54" s="43">
        <v>0</v>
      </c>
    </row>
    <row r="55" spans="1:11" ht="36.75" customHeight="1" x14ac:dyDescent="0.2">
      <c r="A55" s="115" t="s">
        <v>127</v>
      </c>
      <c r="B55" s="118" t="s">
        <v>250</v>
      </c>
      <c r="C55" s="121" t="s">
        <v>249</v>
      </c>
      <c r="D55" s="59" t="s">
        <v>109</v>
      </c>
      <c r="E55" s="43">
        <f>E56+E57</f>
        <v>70</v>
      </c>
      <c r="F55" s="43">
        <f t="shared" ref="F55:H55" si="19">F56+F57</f>
        <v>0</v>
      </c>
      <c r="G55" s="43">
        <f t="shared" si="19"/>
        <v>0</v>
      </c>
      <c r="H55" s="43">
        <f t="shared" si="19"/>
        <v>70</v>
      </c>
      <c r="I55" s="57">
        <f>I56+I57</f>
        <v>0</v>
      </c>
      <c r="J55" s="57">
        <f>J56+J57</f>
        <v>0</v>
      </c>
    </row>
    <row r="56" spans="1:11" ht="14.25" customHeight="1" x14ac:dyDescent="0.2">
      <c r="A56" s="116"/>
      <c r="B56" s="119"/>
      <c r="C56" s="122"/>
      <c r="D56" s="59" t="s">
        <v>11</v>
      </c>
      <c r="E56" s="43">
        <f>SUM(F56:J56)</f>
        <v>70</v>
      </c>
      <c r="F56" s="43">
        <v>0</v>
      </c>
      <c r="G56" s="43">
        <v>0</v>
      </c>
      <c r="H56" s="43">
        <v>70</v>
      </c>
      <c r="I56" s="57">
        <v>0</v>
      </c>
      <c r="J56" s="57">
        <v>0</v>
      </c>
    </row>
    <row r="57" spans="1:11" ht="12.75" customHeight="1" x14ac:dyDescent="0.2">
      <c r="A57" s="117"/>
      <c r="B57" s="120"/>
      <c r="C57" s="123"/>
      <c r="D57" s="59" t="s">
        <v>10</v>
      </c>
      <c r="E57" s="43">
        <f t="shared" si="6"/>
        <v>0</v>
      </c>
      <c r="F57" s="43">
        <v>0</v>
      </c>
      <c r="G57" s="43">
        <v>0</v>
      </c>
      <c r="H57" s="43">
        <v>0</v>
      </c>
      <c r="I57" s="43">
        <v>0</v>
      </c>
      <c r="J57" s="43">
        <v>0</v>
      </c>
    </row>
    <row r="58" spans="1:11" ht="36.75" customHeight="1" x14ac:dyDescent="0.2">
      <c r="A58" s="115" t="s">
        <v>128</v>
      </c>
      <c r="B58" s="118" t="s">
        <v>515</v>
      </c>
      <c r="C58" s="121" t="s">
        <v>249</v>
      </c>
      <c r="D58" s="59" t="s">
        <v>109</v>
      </c>
      <c r="E58" s="43">
        <f>E59+E60</f>
        <v>1000</v>
      </c>
      <c r="F58" s="43">
        <f t="shared" ref="F58:J58" si="20">F59+F60</f>
        <v>0</v>
      </c>
      <c r="G58" s="43">
        <f t="shared" si="20"/>
        <v>0</v>
      </c>
      <c r="H58" s="43">
        <f t="shared" si="20"/>
        <v>1000</v>
      </c>
      <c r="I58" s="43">
        <f t="shared" si="20"/>
        <v>0</v>
      </c>
      <c r="J58" s="43">
        <f t="shared" si="20"/>
        <v>0</v>
      </c>
    </row>
    <row r="59" spans="1:11" ht="14.25" customHeight="1" x14ac:dyDescent="0.2">
      <c r="A59" s="116"/>
      <c r="B59" s="119"/>
      <c r="C59" s="122"/>
      <c r="D59" s="59" t="s">
        <v>11</v>
      </c>
      <c r="E59" s="43">
        <f>SUM(F59:J59)</f>
        <v>1000</v>
      </c>
      <c r="F59" s="43">
        <v>0</v>
      </c>
      <c r="G59" s="43">
        <v>0</v>
      </c>
      <c r="H59" s="43">
        <v>1000</v>
      </c>
      <c r="I59" s="57">
        <v>0</v>
      </c>
      <c r="J59" s="57">
        <v>0</v>
      </c>
    </row>
    <row r="60" spans="1:11" ht="10.5" customHeight="1" x14ac:dyDescent="0.2">
      <c r="A60" s="117"/>
      <c r="B60" s="120"/>
      <c r="C60" s="123"/>
      <c r="D60" s="59" t="s">
        <v>10</v>
      </c>
      <c r="E60" s="43">
        <f t="shared" ref="E60:E66" si="21">SUM(F60:H60)</f>
        <v>0</v>
      </c>
      <c r="F60" s="43">
        <v>0</v>
      </c>
      <c r="G60" s="43">
        <v>0</v>
      </c>
      <c r="H60" s="43">
        <v>0</v>
      </c>
      <c r="I60" s="43">
        <v>0</v>
      </c>
      <c r="J60" s="43">
        <v>0</v>
      </c>
    </row>
    <row r="61" spans="1:11" ht="32.25" customHeight="1" x14ac:dyDescent="0.2">
      <c r="A61" s="115" t="s">
        <v>129</v>
      </c>
      <c r="B61" s="118" t="s">
        <v>191</v>
      </c>
      <c r="C61" s="121" t="s">
        <v>249</v>
      </c>
      <c r="D61" s="59" t="s">
        <v>109</v>
      </c>
      <c r="E61" s="43">
        <f>E62+E63</f>
        <v>885</v>
      </c>
      <c r="F61" s="47">
        <f t="shared" ref="F61:J61" si="22">F62</f>
        <v>172.8</v>
      </c>
      <c r="G61" s="47">
        <f t="shared" si="22"/>
        <v>179.7</v>
      </c>
      <c r="H61" s="47">
        <f t="shared" si="22"/>
        <v>186.9</v>
      </c>
      <c r="I61" s="47">
        <f t="shared" si="22"/>
        <v>172.8</v>
      </c>
      <c r="J61" s="47">
        <f t="shared" si="22"/>
        <v>172.8</v>
      </c>
    </row>
    <row r="62" spans="1:11" ht="14.25" customHeight="1" x14ac:dyDescent="0.2">
      <c r="A62" s="116"/>
      <c r="B62" s="119"/>
      <c r="C62" s="122"/>
      <c r="D62" s="59" t="s">
        <v>11</v>
      </c>
      <c r="E62" s="43">
        <f>SUM(F62:J62)</f>
        <v>885</v>
      </c>
      <c r="F62" s="43">
        <f>50+122.8</f>
        <v>172.8</v>
      </c>
      <c r="G62" s="43">
        <f>50+129.7</f>
        <v>179.7</v>
      </c>
      <c r="H62" s="43">
        <v>186.9</v>
      </c>
      <c r="I62" s="43">
        <f>50+122.8</f>
        <v>172.8</v>
      </c>
      <c r="J62" s="43">
        <f>50+122.8</f>
        <v>172.8</v>
      </c>
    </row>
    <row r="63" spans="1:11" ht="14.25" customHeight="1" x14ac:dyDescent="0.2">
      <c r="A63" s="117"/>
      <c r="B63" s="120"/>
      <c r="C63" s="123"/>
      <c r="D63" s="59" t="s">
        <v>10</v>
      </c>
      <c r="E63" s="43">
        <f>SUM(F63:J63)</f>
        <v>0</v>
      </c>
      <c r="F63" s="43">
        <v>0</v>
      </c>
      <c r="G63" s="43">
        <v>0</v>
      </c>
      <c r="H63" s="43">
        <v>0</v>
      </c>
      <c r="I63" s="43">
        <v>0</v>
      </c>
      <c r="J63" s="43">
        <v>0</v>
      </c>
      <c r="K63" s="46"/>
    </row>
    <row r="64" spans="1:11" ht="18" customHeight="1" x14ac:dyDescent="0.2">
      <c r="A64" s="115" t="s">
        <v>130</v>
      </c>
      <c r="B64" s="118" t="s">
        <v>24</v>
      </c>
      <c r="C64" s="121" t="s">
        <v>25</v>
      </c>
      <c r="D64" s="59" t="s">
        <v>109</v>
      </c>
      <c r="E64" s="43">
        <f t="shared" si="21"/>
        <v>20</v>
      </c>
      <c r="F64" s="43">
        <f t="shared" ref="F64:J64" si="23">F65+F66</f>
        <v>20</v>
      </c>
      <c r="G64" s="43">
        <f t="shared" si="23"/>
        <v>0</v>
      </c>
      <c r="H64" s="43">
        <f t="shared" si="23"/>
        <v>0</v>
      </c>
      <c r="I64" s="43">
        <f t="shared" si="23"/>
        <v>20</v>
      </c>
      <c r="J64" s="43">
        <f t="shared" si="23"/>
        <v>20</v>
      </c>
    </row>
    <row r="65" spans="1:10" ht="14.25" customHeight="1" x14ac:dyDescent="0.2">
      <c r="A65" s="116"/>
      <c r="B65" s="119"/>
      <c r="C65" s="122"/>
      <c r="D65" s="59" t="s">
        <v>11</v>
      </c>
      <c r="E65" s="43">
        <f>SUM(F65:J65)</f>
        <v>60</v>
      </c>
      <c r="F65" s="43">
        <v>20</v>
      </c>
      <c r="G65" s="43">
        <v>0</v>
      </c>
      <c r="H65" s="43">
        <v>0</v>
      </c>
      <c r="I65" s="43">
        <v>20</v>
      </c>
      <c r="J65" s="43">
        <v>20</v>
      </c>
    </row>
    <row r="66" spans="1:10" ht="14.25" customHeight="1" x14ac:dyDescent="0.2">
      <c r="A66" s="117"/>
      <c r="B66" s="120"/>
      <c r="C66" s="123"/>
      <c r="D66" s="59" t="s">
        <v>10</v>
      </c>
      <c r="E66" s="43">
        <f t="shared" si="21"/>
        <v>0</v>
      </c>
      <c r="F66" s="43">
        <v>0</v>
      </c>
      <c r="G66" s="43">
        <v>0</v>
      </c>
      <c r="H66" s="43">
        <v>0</v>
      </c>
      <c r="I66" s="43">
        <v>0</v>
      </c>
      <c r="J66" s="43">
        <v>0</v>
      </c>
    </row>
    <row r="67" spans="1:10" ht="17.25" customHeight="1" x14ac:dyDescent="0.2">
      <c r="A67" s="127" t="s">
        <v>286</v>
      </c>
      <c r="B67" s="112" t="s">
        <v>290</v>
      </c>
      <c r="C67" s="121" t="s">
        <v>249</v>
      </c>
      <c r="D67" s="59" t="s">
        <v>109</v>
      </c>
      <c r="E67" s="43">
        <f>E68+E69</f>
        <v>0</v>
      </c>
      <c r="F67" s="43">
        <f t="shared" ref="F67:H67" si="24">F68+F69</f>
        <v>0</v>
      </c>
      <c r="G67" s="43">
        <f t="shared" si="24"/>
        <v>0</v>
      </c>
      <c r="H67" s="43">
        <f t="shared" si="24"/>
        <v>0</v>
      </c>
      <c r="I67" s="57"/>
      <c r="J67" s="57"/>
    </row>
    <row r="68" spans="1:10" ht="20.25" customHeight="1" x14ac:dyDescent="0.2">
      <c r="A68" s="128"/>
      <c r="B68" s="112"/>
      <c r="C68" s="122"/>
      <c r="D68" s="59" t="s">
        <v>11</v>
      </c>
      <c r="E68" s="43">
        <f>SUM(F68:H68)</f>
        <v>0</v>
      </c>
      <c r="F68" s="43">
        <v>0</v>
      </c>
      <c r="G68" s="43">
        <v>0</v>
      </c>
      <c r="H68" s="43">
        <v>0</v>
      </c>
      <c r="I68" s="43">
        <v>0</v>
      </c>
      <c r="J68" s="43">
        <v>0</v>
      </c>
    </row>
    <row r="69" spans="1:10" ht="21" customHeight="1" x14ac:dyDescent="0.2">
      <c r="A69" s="129"/>
      <c r="B69" s="112"/>
      <c r="C69" s="123"/>
      <c r="D69" s="59" t="s">
        <v>10</v>
      </c>
      <c r="E69" s="43">
        <f>SUM(F69:H69)</f>
        <v>0</v>
      </c>
      <c r="F69" s="43">
        <v>0</v>
      </c>
      <c r="G69" s="43">
        <v>0</v>
      </c>
      <c r="H69" s="43">
        <v>0</v>
      </c>
      <c r="I69" s="43">
        <v>0</v>
      </c>
      <c r="J69" s="43">
        <v>0</v>
      </c>
    </row>
    <row r="70" spans="1:10" ht="0.75" hidden="1" customHeight="1" x14ac:dyDescent="0.2">
      <c r="A70" s="115"/>
      <c r="B70" s="118"/>
      <c r="C70" s="157"/>
      <c r="D70" s="59" t="s">
        <v>109</v>
      </c>
      <c r="E70" s="43" t="e">
        <f>E71+E72</f>
        <v>#REF!</v>
      </c>
      <c r="F70" s="43">
        <f t="shared" ref="F70:H70" si="25">F71+F72</f>
        <v>0</v>
      </c>
      <c r="G70" s="43">
        <f t="shared" si="25"/>
        <v>0</v>
      </c>
      <c r="H70" s="43">
        <f t="shared" si="25"/>
        <v>0</v>
      </c>
      <c r="I70" s="57"/>
      <c r="J70" s="57"/>
    </row>
    <row r="71" spans="1:10" ht="27" hidden="1" customHeight="1" x14ac:dyDescent="0.2">
      <c r="A71" s="116"/>
      <c r="B71" s="119"/>
      <c r="C71" s="158"/>
      <c r="D71" s="59" t="s">
        <v>11</v>
      </c>
      <c r="E71" s="43" t="e">
        <f>#REF!+#REF!+#REF!+#REF!+#REF!+#REF!+#REF!+#REF!+F71+G71+H71</f>
        <v>#REF!</v>
      </c>
      <c r="F71" s="43">
        <v>0</v>
      </c>
      <c r="G71" s="43">
        <v>0</v>
      </c>
      <c r="H71" s="43">
        <v>0</v>
      </c>
      <c r="I71" s="57"/>
      <c r="J71" s="57"/>
    </row>
    <row r="72" spans="1:10" ht="2.25" hidden="1" customHeight="1" x14ac:dyDescent="0.2">
      <c r="A72" s="117"/>
      <c r="B72" s="120"/>
      <c r="C72" s="159"/>
      <c r="D72" s="59"/>
      <c r="E72" s="43"/>
      <c r="F72" s="43"/>
      <c r="G72" s="43"/>
      <c r="H72" s="43"/>
      <c r="I72" s="57"/>
      <c r="J72" s="57"/>
    </row>
    <row r="73" spans="1:10" ht="15" customHeight="1" x14ac:dyDescent="0.2">
      <c r="A73" s="133" t="s">
        <v>183</v>
      </c>
      <c r="B73" s="134"/>
      <c r="C73" s="135"/>
      <c r="D73" s="59" t="s">
        <v>109</v>
      </c>
      <c r="E73" s="43">
        <f>E74+E75</f>
        <v>83952.700000000012</v>
      </c>
      <c r="F73" s="43">
        <f t="shared" ref="F73:J73" si="26">F74+F75</f>
        <v>16473.100000000002</v>
      </c>
      <c r="G73" s="43">
        <f t="shared" si="26"/>
        <v>16517.400000000001</v>
      </c>
      <c r="H73" s="43">
        <f t="shared" si="26"/>
        <v>17995.000000000004</v>
      </c>
      <c r="I73" s="43">
        <f t="shared" si="26"/>
        <v>16483.600000000002</v>
      </c>
      <c r="J73" s="43">
        <f t="shared" si="26"/>
        <v>16483.600000000002</v>
      </c>
    </row>
    <row r="74" spans="1:10" ht="15" customHeight="1" x14ac:dyDescent="0.2">
      <c r="A74" s="136"/>
      <c r="B74" s="137"/>
      <c r="C74" s="138"/>
      <c r="D74" s="59" t="s">
        <v>11</v>
      </c>
      <c r="E74" s="43">
        <f>SUM(F74:J74)</f>
        <v>83952.700000000012</v>
      </c>
      <c r="F74" s="43">
        <f t="shared" ref="F74:J74" si="27">F11+F14+F19+F23+F26+F29+F32+F35+F38+F41+F44+F47+F50+F53+F56+F59+F62+F65+F68+F71</f>
        <v>16473.100000000002</v>
      </c>
      <c r="G74" s="43">
        <f t="shared" si="27"/>
        <v>16517.400000000001</v>
      </c>
      <c r="H74" s="43">
        <f t="shared" si="27"/>
        <v>17995.000000000004</v>
      </c>
      <c r="I74" s="43">
        <f t="shared" si="27"/>
        <v>16483.600000000002</v>
      </c>
      <c r="J74" s="43">
        <f t="shared" si="27"/>
        <v>16483.600000000002</v>
      </c>
    </row>
    <row r="75" spans="1:10" ht="15" customHeight="1" x14ac:dyDescent="0.2">
      <c r="A75" s="139"/>
      <c r="B75" s="140"/>
      <c r="C75" s="141"/>
      <c r="D75" s="59" t="s">
        <v>10</v>
      </c>
      <c r="E75" s="43">
        <f>SUM(F75:H75)</f>
        <v>0</v>
      </c>
      <c r="F75" s="43">
        <v>0</v>
      </c>
      <c r="G75" s="43">
        <v>0</v>
      </c>
      <c r="H75" s="43">
        <v>0</v>
      </c>
      <c r="I75" s="43">
        <v>0</v>
      </c>
      <c r="J75" s="43">
        <v>0</v>
      </c>
    </row>
    <row r="76" spans="1:10" ht="15" customHeight="1" x14ac:dyDescent="0.2">
      <c r="A76" s="125" t="s">
        <v>409</v>
      </c>
      <c r="B76" s="126"/>
      <c r="C76" s="126"/>
      <c r="D76" s="126"/>
      <c r="E76" s="126"/>
      <c r="F76" s="126"/>
      <c r="G76" s="126"/>
      <c r="H76" s="126"/>
      <c r="I76" s="126"/>
      <c r="J76" s="126"/>
    </row>
    <row r="77" spans="1:10" ht="30.75" customHeight="1" x14ac:dyDescent="0.2">
      <c r="A77" s="115" t="s">
        <v>131</v>
      </c>
      <c r="B77" s="118" t="s">
        <v>203</v>
      </c>
      <c r="C77" s="121" t="s">
        <v>296</v>
      </c>
      <c r="D77" s="59" t="s">
        <v>109</v>
      </c>
      <c r="E77" s="43">
        <f>E78+E79+E80</f>
        <v>2736.6000000000004</v>
      </c>
      <c r="F77" s="43">
        <f t="shared" ref="F77:J77" si="28">F78+F79+F80</f>
        <v>741</v>
      </c>
      <c r="G77" s="43">
        <f t="shared" si="28"/>
        <v>757.1</v>
      </c>
      <c r="H77" s="43">
        <f t="shared" si="28"/>
        <v>434.7</v>
      </c>
      <c r="I77" s="43">
        <f t="shared" si="28"/>
        <v>401.9</v>
      </c>
      <c r="J77" s="43">
        <f t="shared" si="28"/>
        <v>401.9</v>
      </c>
    </row>
    <row r="78" spans="1:10" ht="14.25" customHeight="1" x14ac:dyDescent="0.2">
      <c r="A78" s="116"/>
      <c r="B78" s="119"/>
      <c r="C78" s="122"/>
      <c r="D78" s="59" t="s">
        <v>11</v>
      </c>
      <c r="E78" s="43">
        <f>SUM(F78:J78)</f>
        <v>2058.4</v>
      </c>
      <c r="F78" s="43">
        <f>401.9</f>
        <v>401.9</v>
      </c>
      <c r="G78" s="43">
        <v>418</v>
      </c>
      <c r="H78" s="43">
        <v>434.7</v>
      </c>
      <c r="I78" s="43">
        <f>401.9</f>
        <v>401.9</v>
      </c>
      <c r="J78" s="43">
        <f>401.9</f>
        <v>401.9</v>
      </c>
    </row>
    <row r="79" spans="1:10" ht="14.25" customHeight="1" x14ac:dyDescent="0.2">
      <c r="A79" s="116"/>
      <c r="B79" s="119"/>
      <c r="C79" s="122"/>
      <c r="D79" s="59" t="s">
        <v>10</v>
      </c>
      <c r="E79" s="43">
        <f>SUM(F79:J79)</f>
        <v>522.20000000000005</v>
      </c>
      <c r="F79" s="43">
        <v>261.10000000000002</v>
      </c>
      <c r="G79" s="43">
        <v>261.10000000000002</v>
      </c>
      <c r="H79" s="43">
        <v>0</v>
      </c>
      <c r="I79" s="43">
        <v>0</v>
      </c>
      <c r="J79" s="43">
        <v>0</v>
      </c>
    </row>
    <row r="80" spans="1:10" ht="14.25" customHeight="1" x14ac:dyDescent="0.2">
      <c r="A80" s="117"/>
      <c r="B80" s="120"/>
      <c r="C80" s="123"/>
      <c r="D80" s="59" t="s">
        <v>12</v>
      </c>
      <c r="E80" s="43">
        <f>SUM(F80:J80)</f>
        <v>156</v>
      </c>
      <c r="F80" s="43">
        <v>78</v>
      </c>
      <c r="G80" s="43">
        <v>78</v>
      </c>
      <c r="H80" s="43">
        <v>0</v>
      </c>
      <c r="I80" s="43">
        <v>0</v>
      </c>
      <c r="J80" s="43">
        <v>0</v>
      </c>
    </row>
    <row r="81" spans="1:14" ht="72" customHeight="1" x14ac:dyDescent="0.2">
      <c r="A81" s="115" t="s">
        <v>132</v>
      </c>
      <c r="B81" s="118" t="s">
        <v>514</v>
      </c>
      <c r="C81" s="121" t="s">
        <v>296</v>
      </c>
      <c r="D81" s="59" t="s">
        <v>109</v>
      </c>
      <c r="E81" s="43">
        <f>E82+E83</f>
        <v>955.3</v>
      </c>
      <c r="F81" s="43">
        <f t="shared" ref="F81:J81" si="29">F82+F83</f>
        <v>67.099999999999994</v>
      </c>
      <c r="G81" s="43">
        <f t="shared" si="29"/>
        <v>224.1</v>
      </c>
      <c r="H81" s="43">
        <f t="shared" si="29"/>
        <v>233.1</v>
      </c>
      <c r="I81" s="43">
        <f t="shared" si="29"/>
        <v>215.5</v>
      </c>
      <c r="J81" s="43">
        <f t="shared" si="29"/>
        <v>215.5</v>
      </c>
    </row>
    <row r="82" spans="1:14" ht="14.25" customHeight="1" x14ac:dyDescent="0.2">
      <c r="A82" s="116"/>
      <c r="B82" s="119"/>
      <c r="C82" s="122"/>
      <c r="D82" s="59" t="s">
        <v>11</v>
      </c>
      <c r="E82" s="43">
        <f>SUM(F82:J82)</f>
        <v>955.3</v>
      </c>
      <c r="F82" s="43">
        <f>215.5-148.4</f>
        <v>67.099999999999994</v>
      </c>
      <c r="G82" s="43">
        <v>224.1</v>
      </c>
      <c r="H82" s="43">
        <v>233.1</v>
      </c>
      <c r="I82" s="55">
        <v>215.5</v>
      </c>
      <c r="J82" s="55">
        <v>215.5</v>
      </c>
    </row>
    <row r="83" spans="1:14" ht="11.25" customHeight="1" x14ac:dyDescent="0.2">
      <c r="A83" s="117"/>
      <c r="B83" s="120"/>
      <c r="C83" s="123"/>
      <c r="D83" s="59" t="s">
        <v>10</v>
      </c>
      <c r="E83" s="43">
        <f>SUM(F83:J83)</f>
        <v>0</v>
      </c>
      <c r="F83" s="43">
        <v>0</v>
      </c>
      <c r="G83" s="43">
        <v>0</v>
      </c>
      <c r="H83" s="43">
        <v>0</v>
      </c>
      <c r="I83" s="43">
        <v>0</v>
      </c>
      <c r="J83" s="43">
        <v>0</v>
      </c>
    </row>
    <row r="84" spans="1:14" ht="26.25" customHeight="1" x14ac:dyDescent="0.2">
      <c r="A84" s="60" t="s">
        <v>133</v>
      </c>
      <c r="B84" s="61" t="s">
        <v>271</v>
      </c>
      <c r="C84" s="59" t="s">
        <v>296</v>
      </c>
      <c r="D84" s="43">
        <f>SUM(E84:G84)</f>
        <v>0</v>
      </c>
      <c r="E84" s="43">
        <f>SUM(F84:J84)</f>
        <v>0</v>
      </c>
      <c r="F84" s="43">
        <f t="shared" ref="F84:H84" si="30">SUM(G84:Q84)</f>
        <v>0</v>
      </c>
      <c r="G84" s="43">
        <f t="shared" si="30"/>
        <v>0</v>
      </c>
      <c r="H84" s="43">
        <f t="shared" si="30"/>
        <v>0</v>
      </c>
      <c r="I84" s="43">
        <f t="shared" ref="I84" si="31">SUM(J84:T84)</f>
        <v>0</v>
      </c>
      <c r="J84" s="43">
        <f t="shared" ref="J84" si="32">SUM(K84:U84)</f>
        <v>0</v>
      </c>
    </row>
    <row r="85" spans="1:14" ht="18" customHeight="1" x14ac:dyDescent="0.2">
      <c r="A85" s="115" t="s">
        <v>134</v>
      </c>
      <c r="B85" s="118" t="s">
        <v>43</v>
      </c>
      <c r="C85" s="121" t="s">
        <v>296</v>
      </c>
      <c r="D85" s="59" t="s">
        <v>109</v>
      </c>
      <c r="E85" s="43">
        <f>E86+E87</f>
        <v>186.5</v>
      </c>
      <c r="F85" s="43">
        <f t="shared" ref="F85:J85" si="33">F86+F87</f>
        <v>36.4</v>
      </c>
      <c r="G85" s="43">
        <f t="shared" si="33"/>
        <v>37.9</v>
      </c>
      <c r="H85" s="43">
        <f t="shared" si="33"/>
        <v>39.4</v>
      </c>
      <c r="I85" s="43">
        <f t="shared" si="33"/>
        <v>36.4</v>
      </c>
      <c r="J85" s="43">
        <f t="shared" si="33"/>
        <v>36.4</v>
      </c>
    </row>
    <row r="86" spans="1:14" ht="14.25" customHeight="1" x14ac:dyDescent="0.2">
      <c r="A86" s="116"/>
      <c r="B86" s="119"/>
      <c r="C86" s="122"/>
      <c r="D86" s="59" t="s">
        <v>11</v>
      </c>
      <c r="E86" s="43">
        <f>SUM(F86:J86)</f>
        <v>186.5</v>
      </c>
      <c r="F86" s="43">
        <v>36.4</v>
      </c>
      <c r="G86" s="43">
        <v>37.9</v>
      </c>
      <c r="H86" s="43">
        <v>39.4</v>
      </c>
      <c r="I86" s="43">
        <v>36.4</v>
      </c>
      <c r="J86" s="43">
        <v>36.4</v>
      </c>
      <c r="L86" s="46"/>
      <c r="M86" s="46"/>
      <c r="N86" s="46"/>
    </row>
    <row r="87" spans="1:14" ht="14.25" customHeight="1" x14ac:dyDescent="0.2">
      <c r="A87" s="117"/>
      <c r="B87" s="120"/>
      <c r="C87" s="123"/>
      <c r="D87" s="59" t="s">
        <v>10</v>
      </c>
      <c r="E87" s="43">
        <f t="shared" ref="E87:E123" si="34">SUM(F87:H87)</f>
        <v>0</v>
      </c>
      <c r="F87" s="43">
        <v>0</v>
      </c>
      <c r="G87" s="43">
        <v>0</v>
      </c>
      <c r="H87" s="43">
        <v>0</v>
      </c>
      <c r="I87" s="43">
        <v>0</v>
      </c>
      <c r="J87" s="43">
        <v>0</v>
      </c>
    </row>
    <row r="88" spans="1:14" ht="14.25" customHeight="1" x14ac:dyDescent="0.2">
      <c r="A88" s="115" t="s">
        <v>135</v>
      </c>
      <c r="B88" s="118" t="s">
        <v>44</v>
      </c>
      <c r="C88" s="121" t="s">
        <v>296</v>
      </c>
      <c r="D88" s="59" t="s">
        <v>109</v>
      </c>
      <c r="E88" s="43">
        <f>E89+E90</f>
        <v>1251.6000000000001</v>
      </c>
      <c r="F88" s="43">
        <f t="shared" ref="F88:J88" si="35">F89+F90</f>
        <v>363.8</v>
      </c>
      <c r="G88" s="43">
        <f t="shared" si="35"/>
        <v>224</v>
      </c>
      <c r="H88" s="43">
        <f t="shared" si="35"/>
        <v>233</v>
      </c>
      <c r="I88" s="43">
        <f t="shared" si="35"/>
        <v>215.4</v>
      </c>
      <c r="J88" s="43">
        <f t="shared" si="35"/>
        <v>215.4</v>
      </c>
    </row>
    <row r="89" spans="1:14" ht="17.25" customHeight="1" x14ac:dyDescent="0.2">
      <c r="A89" s="116"/>
      <c r="B89" s="119"/>
      <c r="C89" s="122"/>
      <c r="D89" s="59" t="s">
        <v>11</v>
      </c>
      <c r="E89" s="43">
        <f>SUM(F89:J89)</f>
        <v>1251.6000000000001</v>
      </c>
      <c r="F89" s="43">
        <f>215.4+148.4</f>
        <v>363.8</v>
      </c>
      <c r="G89" s="43">
        <v>224</v>
      </c>
      <c r="H89" s="43">
        <v>233</v>
      </c>
      <c r="I89" s="55">
        <v>215.4</v>
      </c>
      <c r="J89" s="55">
        <v>215.4</v>
      </c>
    </row>
    <row r="90" spans="1:14" ht="14.25" customHeight="1" x14ac:dyDescent="0.2">
      <c r="A90" s="117"/>
      <c r="B90" s="120"/>
      <c r="C90" s="123"/>
      <c r="D90" s="59" t="s">
        <v>10</v>
      </c>
      <c r="E90" s="43">
        <f t="shared" si="34"/>
        <v>0</v>
      </c>
      <c r="F90" s="43">
        <v>0</v>
      </c>
      <c r="G90" s="43">
        <v>0</v>
      </c>
      <c r="H90" s="43">
        <v>0</v>
      </c>
      <c r="I90" s="43">
        <v>0</v>
      </c>
      <c r="J90" s="43">
        <v>0</v>
      </c>
    </row>
    <row r="91" spans="1:14" ht="35.25" customHeight="1" x14ac:dyDescent="0.2">
      <c r="A91" s="115" t="s">
        <v>136</v>
      </c>
      <c r="B91" s="118" t="s">
        <v>45</v>
      </c>
      <c r="C91" s="121" t="s">
        <v>314</v>
      </c>
      <c r="D91" s="59" t="s">
        <v>109</v>
      </c>
      <c r="E91" s="43">
        <f>E92+E93</f>
        <v>73.8</v>
      </c>
      <c r="F91" s="43">
        <f t="shared" ref="F91:J91" si="36">F92+F93</f>
        <v>14.4</v>
      </c>
      <c r="G91" s="43">
        <f t="shared" si="36"/>
        <v>15</v>
      </c>
      <c r="H91" s="43">
        <f t="shared" si="36"/>
        <v>15.6</v>
      </c>
      <c r="I91" s="43">
        <f t="shared" si="36"/>
        <v>14.4</v>
      </c>
      <c r="J91" s="43">
        <f t="shared" si="36"/>
        <v>14.4</v>
      </c>
    </row>
    <row r="92" spans="1:14" ht="14.25" customHeight="1" x14ac:dyDescent="0.2">
      <c r="A92" s="116"/>
      <c r="B92" s="119"/>
      <c r="C92" s="122"/>
      <c r="D92" s="59" t="s">
        <v>11</v>
      </c>
      <c r="E92" s="43">
        <f>SUM(F92:J92)</f>
        <v>73.8</v>
      </c>
      <c r="F92" s="43">
        <v>14.4</v>
      </c>
      <c r="G92" s="43">
        <v>15</v>
      </c>
      <c r="H92" s="43">
        <v>15.6</v>
      </c>
      <c r="I92" s="43">
        <v>14.4</v>
      </c>
      <c r="J92" s="43">
        <v>14.4</v>
      </c>
    </row>
    <row r="93" spans="1:14" ht="13.5" customHeight="1" x14ac:dyDescent="0.2">
      <c r="A93" s="117"/>
      <c r="B93" s="120"/>
      <c r="C93" s="123"/>
      <c r="D93" s="59" t="s">
        <v>10</v>
      </c>
      <c r="E93" s="43">
        <f>SUM(F93:J93)</f>
        <v>0</v>
      </c>
      <c r="F93" s="43">
        <v>0</v>
      </c>
      <c r="G93" s="43">
        <v>0</v>
      </c>
      <c r="H93" s="43">
        <v>0</v>
      </c>
      <c r="I93" s="43">
        <v>0</v>
      </c>
      <c r="J93" s="43">
        <v>0</v>
      </c>
    </row>
    <row r="94" spans="1:14" ht="15.75" customHeight="1" x14ac:dyDescent="0.2">
      <c r="A94" s="115" t="s">
        <v>137</v>
      </c>
      <c r="B94" s="118" t="s">
        <v>272</v>
      </c>
      <c r="C94" s="121" t="s">
        <v>296</v>
      </c>
      <c r="D94" s="59" t="s">
        <v>109</v>
      </c>
      <c r="E94" s="43">
        <f>E95+E96</f>
        <v>73.8</v>
      </c>
      <c r="F94" s="43">
        <f t="shared" ref="F94:J94" si="37">F95+F96</f>
        <v>14.4</v>
      </c>
      <c r="G94" s="43">
        <f t="shared" si="37"/>
        <v>15</v>
      </c>
      <c r="H94" s="43">
        <f t="shared" si="37"/>
        <v>15.6</v>
      </c>
      <c r="I94" s="43">
        <f t="shared" si="37"/>
        <v>14.4</v>
      </c>
      <c r="J94" s="43">
        <f t="shared" si="37"/>
        <v>14.4</v>
      </c>
    </row>
    <row r="95" spans="1:14" ht="14.25" customHeight="1" x14ac:dyDescent="0.2">
      <c r="A95" s="116"/>
      <c r="B95" s="119"/>
      <c r="C95" s="122"/>
      <c r="D95" s="59" t="s">
        <v>11</v>
      </c>
      <c r="E95" s="43">
        <f>SUM(F95:J95)</f>
        <v>73.8</v>
      </c>
      <c r="F95" s="43">
        <v>14.4</v>
      </c>
      <c r="G95" s="43">
        <v>15</v>
      </c>
      <c r="H95" s="43">
        <v>15.6</v>
      </c>
      <c r="I95" s="43">
        <v>14.4</v>
      </c>
      <c r="J95" s="43">
        <v>14.4</v>
      </c>
      <c r="L95" s="46"/>
    </row>
    <row r="96" spans="1:14" ht="9.75" customHeight="1" x14ac:dyDescent="0.2">
      <c r="A96" s="117"/>
      <c r="B96" s="120"/>
      <c r="C96" s="123"/>
      <c r="D96" s="59" t="s">
        <v>10</v>
      </c>
      <c r="E96" s="43">
        <f t="shared" si="34"/>
        <v>0</v>
      </c>
      <c r="F96" s="43">
        <v>0</v>
      </c>
      <c r="G96" s="43">
        <v>0</v>
      </c>
      <c r="H96" s="43">
        <v>0</v>
      </c>
      <c r="I96" s="43">
        <v>0</v>
      </c>
      <c r="J96" s="43">
        <v>0</v>
      </c>
    </row>
    <row r="97" spans="1:10" ht="19.5" customHeight="1" x14ac:dyDescent="0.2">
      <c r="A97" s="115" t="s">
        <v>138</v>
      </c>
      <c r="B97" s="118" t="s">
        <v>46</v>
      </c>
      <c r="C97" s="121" t="s">
        <v>251</v>
      </c>
      <c r="D97" s="59" t="s">
        <v>109</v>
      </c>
      <c r="E97" s="43">
        <f t="shared" si="34"/>
        <v>0</v>
      </c>
      <c r="F97" s="43">
        <f t="shared" ref="F97:J97" si="38">F98+F99</f>
        <v>0</v>
      </c>
      <c r="G97" s="43">
        <f t="shared" si="38"/>
        <v>0</v>
      </c>
      <c r="H97" s="43">
        <f t="shared" si="38"/>
        <v>0</v>
      </c>
      <c r="I97" s="43">
        <f t="shared" si="38"/>
        <v>0</v>
      </c>
      <c r="J97" s="43">
        <f t="shared" si="38"/>
        <v>0</v>
      </c>
    </row>
    <row r="98" spans="1:10" ht="14.25" customHeight="1" x14ac:dyDescent="0.2">
      <c r="A98" s="116"/>
      <c r="B98" s="119"/>
      <c r="C98" s="122"/>
      <c r="D98" s="59" t="s">
        <v>11</v>
      </c>
      <c r="E98" s="43">
        <f t="shared" si="34"/>
        <v>0</v>
      </c>
      <c r="F98" s="43">
        <v>0</v>
      </c>
      <c r="G98" s="43">
        <v>0</v>
      </c>
      <c r="H98" s="43">
        <v>0</v>
      </c>
      <c r="I98" s="43">
        <v>0</v>
      </c>
      <c r="J98" s="43">
        <v>0</v>
      </c>
    </row>
    <row r="99" spans="1:10" ht="14.25" customHeight="1" x14ac:dyDescent="0.2">
      <c r="A99" s="117"/>
      <c r="B99" s="120"/>
      <c r="C99" s="123"/>
      <c r="D99" s="59" t="s">
        <v>10</v>
      </c>
      <c r="E99" s="43">
        <f t="shared" si="34"/>
        <v>0</v>
      </c>
      <c r="F99" s="43">
        <v>0</v>
      </c>
      <c r="G99" s="43">
        <v>0</v>
      </c>
      <c r="H99" s="43">
        <v>0</v>
      </c>
      <c r="I99" s="43">
        <v>0</v>
      </c>
      <c r="J99" s="43">
        <v>0</v>
      </c>
    </row>
    <row r="100" spans="1:10" ht="15.75" customHeight="1" x14ac:dyDescent="0.2">
      <c r="A100" s="115" t="s">
        <v>139</v>
      </c>
      <c r="B100" s="118" t="s">
        <v>413</v>
      </c>
      <c r="C100" s="121" t="s">
        <v>251</v>
      </c>
      <c r="D100" s="59" t="s">
        <v>109</v>
      </c>
      <c r="E100" s="43">
        <f t="shared" si="34"/>
        <v>0</v>
      </c>
      <c r="F100" s="43">
        <f t="shared" ref="F100:J100" si="39">F102+F101</f>
        <v>0</v>
      </c>
      <c r="G100" s="43">
        <f t="shared" si="39"/>
        <v>0</v>
      </c>
      <c r="H100" s="43">
        <f t="shared" si="39"/>
        <v>0</v>
      </c>
      <c r="I100" s="43">
        <f t="shared" si="39"/>
        <v>0</v>
      </c>
      <c r="J100" s="43">
        <f t="shared" si="39"/>
        <v>0</v>
      </c>
    </row>
    <row r="101" spans="1:10" ht="14.25" customHeight="1" x14ac:dyDescent="0.2">
      <c r="A101" s="116"/>
      <c r="B101" s="119"/>
      <c r="C101" s="122"/>
      <c r="D101" s="59" t="s">
        <v>11</v>
      </c>
      <c r="E101" s="43">
        <f t="shared" si="34"/>
        <v>0</v>
      </c>
      <c r="F101" s="43">
        <v>0</v>
      </c>
      <c r="G101" s="43">
        <v>0</v>
      </c>
      <c r="H101" s="43">
        <v>0</v>
      </c>
      <c r="I101" s="43">
        <v>0</v>
      </c>
      <c r="J101" s="43">
        <v>0</v>
      </c>
    </row>
    <row r="102" spans="1:10" ht="15.75" customHeight="1" x14ac:dyDescent="0.2">
      <c r="A102" s="117"/>
      <c r="B102" s="120"/>
      <c r="C102" s="123"/>
      <c r="D102" s="59" t="s">
        <v>10</v>
      </c>
      <c r="E102" s="43">
        <f t="shared" si="34"/>
        <v>0</v>
      </c>
      <c r="F102" s="43">
        <v>0</v>
      </c>
      <c r="G102" s="43">
        <v>0</v>
      </c>
      <c r="H102" s="43">
        <v>0</v>
      </c>
      <c r="I102" s="43">
        <v>0</v>
      </c>
      <c r="J102" s="43">
        <v>0</v>
      </c>
    </row>
    <row r="103" spans="1:10" ht="15.75" customHeight="1" x14ac:dyDescent="0.2">
      <c r="A103" s="115" t="s">
        <v>140</v>
      </c>
      <c r="B103" s="118" t="s">
        <v>414</v>
      </c>
      <c r="C103" s="121" t="s">
        <v>426</v>
      </c>
      <c r="D103" s="59" t="s">
        <v>109</v>
      </c>
      <c r="E103" s="43">
        <f t="shared" si="34"/>
        <v>0</v>
      </c>
      <c r="F103" s="43">
        <f t="shared" ref="F103:J103" si="40">F104+F105</f>
        <v>0</v>
      </c>
      <c r="G103" s="43">
        <f t="shared" si="40"/>
        <v>0</v>
      </c>
      <c r="H103" s="43">
        <f t="shared" si="40"/>
        <v>0</v>
      </c>
      <c r="I103" s="43">
        <f t="shared" si="40"/>
        <v>0</v>
      </c>
      <c r="J103" s="43">
        <f t="shared" si="40"/>
        <v>0</v>
      </c>
    </row>
    <row r="104" spans="1:10" ht="9" customHeight="1" x14ac:dyDescent="0.2">
      <c r="A104" s="116"/>
      <c r="B104" s="119"/>
      <c r="C104" s="122"/>
      <c r="D104" s="59" t="s">
        <v>11</v>
      </c>
      <c r="E104" s="43">
        <f t="shared" si="34"/>
        <v>0</v>
      </c>
      <c r="F104" s="43">
        <v>0</v>
      </c>
      <c r="G104" s="43">
        <v>0</v>
      </c>
      <c r="H104" s="43">
        <v>0</v>
      </c>
      <c r="I104" s="43">
        <v>0</v>
      </c>
      <c r="J104" s="43">
        <v>0</v>
      </c>
    </row>
    <row r="105" spans="1:10" ht="11.25" customHeight="1" x14ac:dyDescent="0.2">
      <c r="A105" s="117"/>
      <c r="B105" s="120"/>
      <c r="C105" s="123"/>
      <c r="D105" s="59" t="s">
        <v>10</v>
      </c>
      <c r="E105" s="43">
        <f t="shared" si="34"/>
        <v>0</v>
      </c>
      <c r="F105" s="43">
        <v>0</v>
      </c>
      <c r="G105" s="43">
        <v>0</v>
      </c>
      <c r="H105" s="43">
        <v>0</v>
      </c>
      <c r="I105" s="43">
        <v>0</v>
      </c>
      <c r="J105" s="43">
        <v>0</v>
      </c>
    </row>
    <row r="106" spans="1:10" ht="15.75" customHeight="1" x14ac:dyDescent="0.2">
      <c r="A106" s="115" t="s">
        <v>141</v>
      </c>
      <c r="B106" s="118" t="s">
        <v>313</v>
      </c>
      <c r="C106" s="121" t="s">
        <v>296</v>
      </c>
      <c r="D106" s="59" t="s">
        <v>109</v>
      </c>
      <c r="E106" s="43">
        <f t="shared" si="34"/>
        <v>0</v>
      </c>
      <c r="F106" s="43">
        <f t="shared" ref="F106:J106" si="41">F107+F108</f>
        <v>0</v>
      </c>
      <c r="G106" s="43">
        <f t="shared" si="41"/>
        <v>0</v>
      </c>
      <c r="H106" s="43">
        <f t="shared" si="41"/>
        <v>0</v>
      </c>
      <c r="I106" s="43">
        <f t="shared" si="41"/>
        <v>0</v>
      </c>
      <c r="J106" s="43">
        <f t="shared" si="41"/>
        <v>0</v>
      </c>
    </row>
    <row r="107" spans="1:10" ht="14.25" customHeight="1" x14ac:dyDescent="0.2">
      <c r="A107" s="116"/>
      <c r="B107" s="119"/>
      <c r="C107" s="122"/>
      <c r="D107" s="59" t="s">
        <v>11</v>
      </c>
      <c r="E107" s="43">
        <f t="shared" si="34"/>
        <v>0</v>
      </c>
      <c r="F107" s="43">
        <v>0</v>
      </c>
      <c r="G107" s="43">
        <v>0</v>
      </c>
      <c r="H107" s="43">
        <v>0</v>
      </c>
      <c r="I107" s="43">
        <v>0</v>
      </c>
      <c r="J107" s="43">
        <v>0</v>
      </c>
    </row>
    <row r="108" spans="1:10" ht="14.25" customHeight="1" x14ac:dyDescent="0.2">
      <c r="A108" s="117"/>
      <c r="B108" s="120"/>
      <c r="C108" s="123"/>
      <c r="D108" s="59" t="s">
        <v>10</v>
      </c>
      <c r="E108" s="43">
        <f t="shared" si="34"/>
        <v>0</v>
      </c>
      <c r="F108" s="43">
        <v>0</v>
      </c>
      <c r="G108" s="43">
        <v>0</v>
      </c>
      <c r="H108" s="43">
        <v>0</v>
      </c>
      <c r="I108" s="43">
        <v>0</v>
      </c>
      <c r="J108" s="43">
        <v>0</v>
      </c>
    </row>
    <row r="109" spans="1:10" ht="14.25" customHeight="1" x14ac:dyDescent="0.2">
      <c r="A109" s="115" t="s">
        <v>142</v>
      </c>
      <c r="B109" s="118" t="s">
        <v>47</v>
      </c>
      <c r="C109" s="121" t="s">
        <v>296</v>
      </c>
      <c r="D109" s="59" t="s">
        <v>109</v>
      </c>
      <c r="E109" s="43">
        <f t="shared" si="34"/>
        <v>0</v>
      </c>
      <c r="F109" s="43">
        <f t="shared" ref="F109" si="42">F110+F111+F112</f>
        <v>0</v>
      </c>
      <c r="G109" s="43">
        <f t="shared" ref="G109" si="43">G110+G111</f>
        <v>0</v>
      </c>
      <c r="H109" s="43">
        <v>0</v>
      </c>
      <c r="I109" s="43">
        <v>0</v>
      </c>
      <c r="J109" s="43">
        <v>0</v>
      </c>
    </row>
    <row r="110" spans="1:10" ht="12" customHeight="1" x14ac:dyDescent="0.2">
      <c r="A110" s="116"/>
      <c r="B110" s="119"/>
      <c r="C110" s="122"/>
      <c r="D110" s="59" t="s">
        <v>12</v>
      </c>
      <c r="E110" s="43">
        <f t="shared" si="34"/>
        <v>0</v>
      </c>
      <c r="F110" s="43">
        <v>0</v>
      </c>
      <c r="G110" s="43">
        <v>0</v>
      </c>
      <c r="H110" s="43">
        <v>0</v>
      </c>
      <c r="I110" s="43">
        <v>0</v>
      </c>
      <c r="J110" s="43">
        <v>0</v>
      </c>
    </row>
    <row r="111" spans="1:10" ht="14.25" customHeight="1" x14ac:dyDescent="0.2">
      <c r="A111" s="116"/>
      <c r="B111" s="119"/>
      <c r="C111" s="122"/>
      <c r="D111" s="59" t="s">
        <v>11</v>
      </c>
      <c r="E111" s="43">
        <f t="shared" si="34"/>
        <v>0</v>
      </c>
      <c r="F111" s="43">
        <v>0</v>
      </c>
      <c r="G111" s="43">
        <v>0</v>
      </c>
      <c r="H111" s="43">
        <v>0</v>
      </c>
      <c r="I111" s="43">
        <v>0</v>
      </c>
      <c r="J111" s="43">
        <v>0</v>
      </c>
    </row>
    <row r="112" spans="1:10" ht="10.5" customHeight="1" x14ac:dyDescent="0.2">
      <c r="A112" s="117"/>
      <c r="B112" s="120"/>
      <c r="C112" s="123"/>
      <c r="D112" s="59" t="s">
        <v>10</v>
      </c>
      <c r="E112" s="43">
        <f t="shared" si="34"/>
        <v>0</v>
      </c>
      <c r="F112" s="43">
        <v>0</v>
      </c>
      <c r="G112" s="43">
        <v>0</v>
      </c>
      <c r="H112" s="43">
        <v>0</v>
      </c>
      <c r="I112" s="43">
        <v>0</v>
      </c>
      <c r="J112" s="43">
        <v>0</v>
      </c>
    </row>
    <row r="113" spans="1:10" ht="16.5" customHeight="1" x14ac:dyDescent="0.2">
      <c r="A113" s="115" t="s">
        <v>143</v>
      </c>
      <c r="B113" s="118" t="s">
        <v>410</v>
      </c>
      <c r="C113" s="121" t="s">
        <v>296</v>
      </c>
      <c r="D113" s="59" t="s">
        <v>109</v>
      </c>
      <c r="E113" s="43">
        <f t="shared" si="34"/>
        <v>0</v>
      </c>
      <c r="F113" s="43">
        <f t="shared" ref="F113:J113" si="44">F114+F115+F116</f>
        <v>0</v>
      </c>
      <c r="G113" s="43">
        <f t="shared" si="44"/>
        <v>0</v>
      </c>
      <c r="H113" s="43">
        <f t="shared" si="44"/>
        <v>0</v>
      </c>
      <c r="I113" s="43">
        <f t="shared" si="44"/>
        <v>0</v>
      </c>
      <c r="J113" s="43">
        <f t="shared" si="44"/>
        <v>0</v>
      </c>
    </row>
    <row r="114" spans="1:10" ht="15.75" customHeight="1" x14ac:dyDescent="0.2">
      <c r="A114" s="116"/>
      <c r="B114" s="119"/>
      <c r="C114" s="122"/>
      <c r="D114" s="59" t="s">
        <v>12</v>
      </c>
      <c r="E114" s="43">
        <f t="shared" si="34"/>
        <v>0</v>
      </c>
      <c r="F114" s="43">
        <v>0</v>
      </c>
      <c r="G114" s="43">
        <v>0</v>
      </c>
      <c r="H114" s="43">
        <v>0</v>
      </c>
      <c r="I114" s="43">
        <v>0</v>
      </c>
      <c r="J114" s="43">
        <v>0</v>
      </c>
    </row>
    <row r="115" spans="1:10" ht="12" customHeight="1" x14ac:dyDescent="0.2">
      <c r="A115" s="116"/>
      <c r="B115" s="119"/>
      <c r="C115" s="122"/>
      <c r="D115" s="59" t="s">
        <v>11</v>
      </c>
      <c r="E115" s="43">
        <f t="shared" si="34"/>
        <v>0</v>
      </c>
      <c r="F115" s="43">
        <v>0</v>
      </c>
      <c r="G115" s="43">
        <v>0</v>
      </c>
      <c r="H115" s="43">
        <v>0</v>
      </c>
      <c r="I115" s="43">
        <v>0</v>
      </c>
      <c r="J115" s="43">
        <v>0</v>
      </c>
    </row>
    <row r="116" spans="1:10" ht="12.75" customHeight="1" x14ac:dyDescent="0.2">
      <c r="A116" s="117"/>
      <c r="B116" s="120"/>
      <c r="C116" s="123"/>
      <c r="D116" s="59" t="s">
        <v>10</v>
      </c>
      <c r="E116" s="43">
        <f t="shared" si="34"/>
        <v>0</v>
      </c>
      <c r="F116" s="43">
        <v>0</v>
      </c>
      <c r="G116" s="43">
        <v>0</v>
      </c>
      <c r="H116" s="43">
        <v>0</v>
      </c>
      <c r="I116" s="43">
        <v>0</v>
      </c>
      <c r="J116" s="43">
        <v>0</v>
      </c>
    </row>
    <row r="117" spans="1:10" ht="15.75" customHeight="1" x14ac:dyDescent="0.2">
      <c r="A117" s="115" t="s">
        <v>144</v>
      </c>
      <c r="B117" s="118" t="s">
        <v>48</v>
      </c>
      <c r="C117" s="121" t="s">
        <v>296</v>
      </c>
      <c r="D117" s="59" t="s">
        <v>109</v>
      </c>
      <c r="E117" s="43">
        <f>E118+E119</f>
        <v>280162.7</v>
      </c>
      <c r="F117" s="43">
        <f t="shared" ref="F117:J117" si="45">F118+F119</f>
        <v>55794.400000000001</v>
      </c>
      <c r="G117" s="43">
        <f t="shared" si="45"/>
        <v>56191.6</v>
      </c>
      <c r="H117" s="43">
        <f t="shared" si="45"/>
        <v>56587.9</v>
      </c>
      <c r="I117" s="43">
        <f t="shared" si="45"/>
        <v>55794.400000000001</v>
      </c>
      <c r="J117" s="43">
        <f t="shared" si="45"/>
        <v>55794.400000000001</v>
      </c>
    </row>
    <row r="118" spans="1:10" ht="14.25" customHeight="1" x14ac:dyDescent="0.2">
      <c r="A118" s="116"/>
      <c r="B118" s="119"/>
      <c r="C118" s="122"/>
      <c r="D118" s="59" t="s">
        <v>11</v>
      </c>
      <c r="E118" s="43">
        <f>SUM(F118:J118)</f>
        <v>280162.7</v>
      </c>
      <c r="F118" s="43">
        <v>55794.400000000001</v>
      </c>
      <c r="G118" s="43">
        <v>56191.6</v>
      </c>
      <c r="H118" s="43">
        <v>56587.9</v>
      </c>
      <c r="I118" s="43">
        <v>55794.400000000001</v>
      </c>
      <c r="J118" s="43">
        <v>55794.400000000001</v>
      </c>
    </row>
    <row r="119" spans="1:10" ht="12" customHeight="1" x14ac:dyDescent="0.2">
      <c r="A119" s="117"/>
      <c r="B119" s="120"/>
      <c r="C119" s="123"/>
      <c r="D119" s="59" t="s">
        <v>10</v>
      </c>
      <c r="E119" s="43">
        <f t="shared" si="34"/>
        <v>0</v>
      </c>
      <c r="F119" s="43">
        <v>0</v>
      </c>
      <c r="G119" s="43">
        <v>0</v>
      </c>
      <c r="H119" s="43">
        <v>0</v>
      </c>
      <c r="I119" s="43">
        <v>0</v>
      </c>
      <c r="J119" s="43">
        <v>0</v>
      </c>
    </row>
    <row r="120" spans="1:10" ht="15.75" customHeight="1" x14ac:dyDescent="0.2">
      <c r="A120" s="133" t="s">
        <v>184</v>
      </c>
      <c r="B120" s="134"/>
      <c r="C120" s="135"/>
      <c r="D120" s="59" t="s">
        <v>109</v>
      </c>
      <c r="E120" s="43">
        <f>E121+E122+E123</f>
        <v>285440.3</v>
      </c>
      <c r="F120" s="43">
        <f t="shared" ref="F120:J120" si="46">F121+F122+F123</f>
        <v>57031.5</v>
      </c>
      <c r="G120" s="43">
        <f t="shared" si="46"/>
        <v>57464.7</v>
      </c>
      <c r="H120" s="43">
        <f t="shared" si="46"/>
        <v>57559.3</v>
      </c>
      <c r="I120" s="43">
        <f t="shared" si="46"/>
        <v>56692.4</v>
      </c>
      <c r="J120" s="43">
        <f t="shared" si="46"/>
        <v>56692.4</v>
      </c>
    </row>
    <row r="121" spans="1:10" ht="14.25" customHeight="1" x14ac:dyDescent="0.2">
      <c r="A121" s="136"/>
      <c r="B121" s="137"/>
      <c r="C121" s="138"/>
      <c r="D121" s="59" t="s">
        <v>12</v>
      </c>
      <c r="E121" s="43">
        <f>SUM(F121:J121)</f>
        <v>156</v>
      </c>
      <c r="F121" s="43">
        <f>F80</f>
        <v>78</v>
      </c>
      <c r="G121" s="43">
        <f t="shared" ref="G121:J121" si="47">G80</f>
        <v>78</v>
      </c>
      <c r="H121" s="43">
        <f t="shared" si="47"/>
        <v>0</v>
      </c>
      <c r="I121" s="43">
        <f t="shared" si="47"/>
        <v>0</v>
      </c>
      <c r="J121" s="43">
        <f t="shared" si="47"/>
        <v>0</v>
      </c>
    </row>
    <row r="122" spans="1:10" ht="14.25" customHeight="1" x14ac:dyDescent="0.2">
      <c r="A122" s="136"/>
      <c r="B122" s="137"/>
      <c r="C122" s="138"/>
      <c r="D122" s="59" t="s">
        <v>11</v>
      </c>
      <c r="E122" s="43">
        <f>SUM(F122:J122)</f>
        <v>284762.09999999998</v>
      </c>
      <c r="F122" s="43">
        <f>F78+F82+F86+F89+F92+F95+F98+F101+F104+F107+F111+F115+F118</f>
        <v>56692.4</v>
      </c>
      <c r="G122" s="43">
        <f t="shared" ref="G122:J122" si="48">G78+G82+G86+G89+G92+G95+G98+G101+G104+G107+G111+G115+G118</f>
        <v>57125.599999999999</v>
      </c>
      <c r="H122" s="43">
        <f t="shared" si="48"/>
        <v>57559.3</v>
      </c>
      <c r="I122" s="43">
        <f t="shared" si="48"/>
        <v>56692.4</v>
      </c>
      <c r="J122" s="43">
        <f t="shared" si="48"/>
        <v>56692.4</v>
      </c>
    </row>
    <row r="123" spans="1:10" ht="14.25" customHeight="1" x14ac:dyDescent="0.2">
      <c r="A123" s="139"/>
      <c r="B123" s="140"/>
      <c r="C123" s="141"/>
      <c r="D123" s="59" t="s">
        <v>10</v>
      </c>
      <c r="E123" s="43">
        <f t="shared" si="34"/>
        <v>522.20000000000005</v>
      </c>
      <c r="F123" s="43">
        <f>F79+F83+F87+F90+F93+F96+F99+F102+F105+F108+F112+F116+F119</f>
        <v>261.10000000000002</v>
      </c>
      <c r="G123" s="43">
        <f t="shared" ref="G123:J123" si="49">G79+G83+G87+G90+G93+G96+G99+G102+G105+G108+G112+G116+G119</f>
        <v>261.10000000000002</v>
      </c>
      <c r="H123" s="43">
        <f t="shared" si="49"/>
        <v>0</v>
      </c>
      <c r="I123" s="43">
        <f t="shared" si="49"/>
        <v>0</v>
      </c>
      <c r="J123" s="43">
        <f t="shared" si="49"/>
        <v>0</v>
      </c>
    </row>
    <row r="124" spans="1:10" ht="13.5" customHeight="1" x14ac:dyDescent="0.2">
      <c r="A124" s="155" t="s">
        <v>53</v>
      </c>
      <c r="B124" s="156"/>
      <c r="C124" s="156"/>
      <c r="D124" s="156"/>
      <c r="E124" s="156"/>
      <c r="F124" s="156"/>
      <c r="G124" s="156"/>
      <c r="H124" s="156"/>
      <c r="I124" s="156"/>
      <c r="J124" s="156"/>
    </row>
    <row r="125" spans="1:10" ht="17.25" customHeight="1" x14ac:dyDescent="0.2">
      <c r="A125" s="115" t="s">
        <v>145</v>
      </c>
      <c r="B125" s="118" t="s">
        <v>268</v>
      </c>
      <c r="C125" s="121" t="s">
        <v>292</v>
      </c>
      <c r="D125" s="59" t="s">
        <v>109</v>
      </c>
      <c r="E125" s="43">
        <f>E126+E127</f>
        <v>348.2</v>
      </c>
      <c r="F125" s="48">
        <f t="shared" ref="F125:J125" si="50">F126+F127</f>
        <v>68</v>
      </c>
      <c r="G125" s="48">
        <f t="shared" si="50"/>
        <v>70.7</v>
      </c>
      <c r="H125" s="48">
        <f t="shared" si="50"/>
        <v>73.5</v>
      </c>
      <c r="I125" s="48">
        <f t="shared" si="50"/>
        <v>68</v>
      </c>
      <c r="J125" s="48">
        <f t="shared" si="50"/>
        <v>68</v>
      </c>
    </row>
    <row r="126" spans="1:10" ht="24" customHeight="1" x14ac:dyDescent="0.2">
      <c r="A126" s="116"/>
      <c r="B126" s="119"/>
      <c r="C126" s="122"/>
      <c r="D126" s="59" t="s">
        <v>11</v>
      </c>
      <c r="E126" s="43">
        <f>SUM(F126:J126)</f>
        <v>348.2</v>
      </c>
      <c r="F126" s="43">
        <v>68</v>
      </c>
      <c r="G126" s="43">
        <v>70.7</v>
      </c>
      <c r="H126" s="43">
        <v>73.5</v>
      </c>
      <c r="I126" s="43">
        <v>68</v>
      </c>
      <c r="J126" s="43">
        <v>68</v>
      </c>
    </row>
    <row r="127" spans="1:10" ht="14.25" customHeight="1" x14ac:dyDescent="0.2">
      <c r="A127" s="117"/>
      <c r="B127" s="120"/>
      <c r="C127" s="123"/>
      <c r="D127" s="59" t="s">
        <v>10</v>
      </c>
      <c r="E127" s="43">
        <f t="shared" ref="E127:E139" si="51">SUM(F127:H127)</f>
        <v>0</v>
      </c>
      <c r="F127" s="43">
        <v>0</v>
      </c>
      <c r="G127" s="43">
        <v>0</v>
      </c>
      <c r="H127" s="43">
        <v>0</v>
      </c>
      <c r="I127" s="43">
        <v>0</v>
      </c>
      <c r="J127" s="43">
        <v>0</v>
      </c>
    </row>
    <row r="128" spans="1:10" ht="17.25" customHeight="1" x14ac:dyDescent="0.2">
      <c r="A128" s="115" t="s">
        <v>146</v>
      </c>
      <c r="B128" s="118" t="s">
        <v>267</v>
      </c>
      <c r="C128" s="121" t="s">
        <v>292</v>
      </c>
      <c r="D128" s="59" t="s">
        <v>109</v>
      </c>
      <c r="E128" s="43">
        <f>E129+E130</f>
        <v>293.5</v>
      </c>
      <c r="F128" s="43">
        <f t="shared" ref="F128:J128" si="52">F129+F130</f>
        <v>57.3</v>
      </c>
      <c r="G128" s="43">
        <f t="shared" si="52"/>
        <v>59.6</v>
      </c>
      <c r="H128" s="43">
        <f t="shared" si="52"/>
        <v>62</v>
      </c>
      <c r="I128" s="43">
        <f t="shared" si="52"/>
        <v>57.3</v>
      </c>
      <c r="J128" s="43">
        <f t="shared" si="52"/>
        <v>57.3</v>
      </c>
    </row>
    <row r="129" spans="1:10" ht="14.25" customHeight="1" x14ac:dyDescent="0.2">
      <c r="A129" s="116"/>
      <c r="B129" s="119"/>
      <c r="C129" s="122"/>
      <c r="D129" s="59" t="s">
        <v>11</v>
      </c>
      <c r="E129" s="43">
        <f>SUM(F129:J129)</f>
        <v>293.5</v>
      </c>
      <c r="F129" s="43">
        <v>57.3</v>
      </c>
      <c r="G129" s="43">
        <v>59.6</v>
      </c>
      <c r="H129" s="43">
        <v>62</v>
      </c>
      <c r="I129" s="43">
        <v>57.3</v>
      </c>
      <c r="J129" s="43">
        <v>57.3</v>
      </c>
    </row>
    <row r="130" spans="1:10" ht="14.25" customHeight="1" x14ac:dyDescent="0.2">
      <c r="A130" s="117"/>
      <c r="B130" s="120"/>
      <c r="C130" s="123"/>
      <c r="D130" s="59" t="s">
        <v>10</v>
      </c>
      <c r="E130" s="43">
        <f t="shared" si="51"/>
        <v>0</v>
      </c>
      <c r="F130" s="43">
        <v>0</v>
      </c>
      <c r="G130" s="43">
        <v>0</v>
      </c>
      <c r="H130" s="43">
        <v>0</v>
      </c>
      <c r="I130" s="43">
        <v>0</v>
      </c>
      <c r="J130" s="43">
        <v>0</v>
      </c>
    </row>
    <row r="131" spans="1:10" ht="15.75" customHeight="1" x14ac:dyDescent="0.2">
      <c r="A131" s="115" t="s">
        <v>147</v>
      </c>
      <c r="B131" s="118" t="s">
        <v>54</v>
      </c>
      <c r="C131" s="121" t="s">
        <v>292</v>
      </c>
      <c r="D131" s="59" t="s">
        <v>109</v>
      </c>
      <c r="E131" s="43">
        <f>E132+E133</f>
        <v>146.9</v>
      </c>
      <c r="F131" s="43">
        <f t="shared" ref="F131:J131" si="53">F132+F133</f>
        <v>28.7</v>
      </c>
      <c r="G131" s="43">
        <f t="shared" si="53"/>
        <v>29.8</v>
      </c>
      <c r="H131" s="43">
        <f t="shared" si="53"/>
        <v>31</v>
      </c>
      <c r="I131" s="43">
        <f t="shared" si="53"/>
        <v>28.7</v>
      </c>
      <c r="J131" s="43">
        <f t="shared" si="53"/>
        <v>28.7</v>
      </c>
    </row>
    <row r="132" spans="1:10" ht="14.25" customHeight="1" x14ac:dyDescent="0.2">
      <c r="A132" s="116"/>
      <c r="B132" s="119"/>
      <c r="C132" s="122"/>
      <c r="D132" s="59" t="s">
        <v>11</v>
      </c>
      <c r="E132" s="43">
        <f>SUM(F132:J132)</f>
        <v>146.9</v>
      </c>
      <c r="F132" s="43">
        <v>28.7</v>
      </c>
      <c r="G132" s="43">
        <v>29.8</v>
      </c>
      <c r="H132" s="43">
        <v>31</v>
      </c>
      <c r="I132" s="43">
        <v>28.7</v>
      </c>
      <c r="J132" s="43">
        <v>28.7</v>
      </c>
    </row>
    <row r="133" spans="1:10" ht="12" customHeight="1" x14ac:dyDescent="0.2">
      <c r="A133" s="117"/>
      <c r="B133" s="120"/>
      <c r="C133" s="123"/>
      <c r="D133" s="59" t="s">
        <v>10</v>
      </c>
      <c r="E133" s="43">
        <f t="shared" si="51"/>
        <v>0</v>
      </c>
      <c r="F133" s="43">
        <v>0</v>
      </c>
      <c r="G133" s="43">
        <v>0</v>
      </c>
      <c r="H133" s="43">
        <v>0</v>
      </c>
      <c r="I133" s="43">
        <v>0</v>
      </c>
      <c r="J133" s="43">
        <v>0</v>
      </c>
    </row>
    <row r="134" spans="1:10" ht="16.5" customHeight="1" x14ac:dyDescent="0.2">
      <c r="A134" s="115" t="s">
        <v>148</v>
      </c>
      <c r="B134" s="118" t="s">
        <v>266</v>
      </c>
      <c r="C134" s="121" t="s">
        <v>292</v>
      </c>
      <c r="D134" s="59" t="s">
        <v>109</v>
      </c>
      <c r="E134" s="43">
        <f>E135+E136</f>
        <v>219.70000000000002</v>
      </c>
      <c r="F134" s="43">
        <f t="shared" ref="F134:J134" si="54">F135+F136</f>
        <v>42.9</v>
      </c>
      <c r="G134" s="43">
        <f t="shared" si="54"/>
        <v>44.6</v>
      </c>
      <c r="H134" s="43">
        <f t="shared" si="54"/>
        <v>46.4</v>
      </c>
      <c r="I134" s="43">
        <f t="shared" si="54"/>
        <v>42.9</v>
      </c>
      <c r="J134" s="43">
        <f t="shared" si="54"/>
        <v>42.9</v>
      </c>
    </row>
    <row r="135" spans="1:10" ht="14.25" customHeight="1" x14ac:dyDescent="0.2">
      <c r="A135" s="116"/>
      <c r="B135" s="119"/>
      <c r="C135" s="122"/>
      <c r="D135" s="59" t="s">
        <v>11</v>
      </c>
      <c r="E135" s="43">
        <f>SUM(F135:J135)</f>
        <v>219.70000000000002</v>
      </c>
      <c r="F135" s="43">
        <v>42.9</v>
      </c>
      <c r="G135" s="43">
        <v>44.6</v>
      </c>
      <c r="H135" s="43">
        <v>46.4</v>
      </c>
      <c r="I135" s="43">
        <v>42.9</v>
      </c>
      <c r="J135" s="43">
        <v>42.9</v>
      </c>
    </row>
    <row r="136" spans="1:10" ht="13.5" customHeight="1" x14ac:dyDescent="0.2">
      <c r="A136" s="117"/>
      <c r="B136" s="120"/>
      <c r="C136" s="123"/>
      <c r="D136" s="59" t="s">
        <v>10</v>
      </c>
      <c r="E136" s="43">
        <f t="shared" si="51"/>
        <v>0</v>
      </c>
      <c r="F136" s="43">
        <v>0</v>
      </c>
      <c r="G136" s="43">
        <v>0</v>
      </c>
      <c r="H136" s="43">
        <v>0</v>
      </c>
      <c r="I136" s="43">
        <v>0</v>
      </c>
      <c r="J136" s="43">
        <v>0</v>
      </c>
    </row>
    <row r="137" spans="1:10" ht="13.5" customHeight="1" x14ac:dyDescent="0.2">
      <c r="A137" s="115" t="s">
        <v>149</v>
      </c>
      <c r="B137" s="118" t="s">
        <v>55</v>
      </c>
      <c r="C137" s="121" t="s">
        <v>292</v>
      </c>
      <c r="D137" s="59" t="s">
        <v>109</v>
      </c>
      <c r="E137" s="43">
        <f>E138+E139</f>
        <v>2510</v>
      </c>
      <c r="F137" s="43">
        <f t="shared" ref="F137:J137" si="55">F138+F139</f>
        <v>620</v>
      </c>
      <c r="G137" s="43">
        <f t="shared" si="55"/>
        <v>0</v>
      </c>
      <c r="H137" s="43">
        <f t="shared" si="55"/>
        <v>650</v>
      </c>
      <c r="I137" s="43">
        <f t="shared" si="55"/>
        <v>620</v>
      </c>
      <c r="J137" s="43">
        <f t="shared" si="55"/>
        <v>620</v>
      </c>
    </row>
    <row r="138" spans="1:10" ht="14.25" customHeight="1" x14ac:dyDescent="0.2">
      <c r="A138" s="116"/>
      <c r="B138" s="119"/>
      <c r="C138" s="122"/>
      <c r="D138" s="59" t="s">
        <v>11</v>
      </c>
      <c r="E138" s="43">
        <f>SUM(F138:J138)</f>
        <v>2510</v>
      </c>
      <c r="F138" s="43">
        <v>620</v>
      </c>
      <c r="G138" s="43">
        <v>0</v>
      </c>
      <c r="H138" s="43">
        <v>650</v>
      </c>
      <c r="I138" s="43">
        <v>620</v>
      </c>
      <c r="J138" s="43">
        <v>620</v>
      </c>
    </row>
    <row r="139" spans="1:10" ht="11.25" customHeight="1" x14ac:dyDescent="0.2">
      <c r="A139" s="117"/>
      <c r="B139" s="120"/>
      <c r="C139" s="123"/>
      <c r="D139" s="59" t="s">
        <v>10</v>
      </c>
      <c r="E139" s="43">
        <f t="shared" si="51"/>
        <v>0</v>
      </c>
      <c r="F139" s="43">
        <v>0</v>
      </c>
      <c r="G139" s="43">
        <v>0</v>
      </c>
      <c r="H139" s="43">
        <v>0</v>
      </c>
      <c r="I139" s="43">
        <v>0</v>
      </c>
      <c r="J139" s="43">
        <v>0</v>
      </c>
    </row>
    <row r="140" spans="1:10" ht="17.25" customHeight="1" x14ac:dyDescent="0.2">
      <c r="A140" s="133" t="s">
        <v>185</v>
      </c>
      <c r="B140" s="134"/>
      <c r="C140" s="135"/>
      <c r="D140" s="59" t="s">
        <v>109</v>
      </c>
      <c r="E140" s="43">
        <f>E141+E142</f>
        <v>3518.3</v>
      </c>
      <c r="F140" s="43">
        <f t="shared" ref="F140:J140" si="56">F141+F142</f>
        <v>816.9</v>
      </c>
      <c r="G140" s="43">
        <f t="shared" si="56"/>
        <v>204.7</v>
      </c>
      <c r="H140" s="43">
        <f t="shared" si="56"/>
        <v>862.9</v>
      </c>
      <c r="I140" s="43">
        <f t="shared" si="56"/>
        <v>816.9</v>
      </c>
      <c r="J140" s="43">
        <f t="shared" si="56"/>
        <v>816.9</v>
      </c>
    </row>
    <row r="141" spans="1:10" ht="14.25" customHeight="1" x14ac:dyDescent="0.2">
      <c r="A141" s="136"/>
      <c r="B141" s="137"/>
      <c r="C141" s="138"/>
      <c r="D141" s="59" t="s">
        <v>11</v>
      </c>
      <c r="E141" s="43">
        <f>SUM(F141:J141)</f>
        <v>3518.3</v>
      </c>
      <c r="F141" s="43">
        <f t="shared" ref="F141:J142" si="57">F138+F135+F132+F129+F126</f>
        <v>816.9</v>
      </c>
      <c r="G141" s="43">
        <f t="shared" si="57"/>
        <v>204.7</v>
      </c>
      <c r="H141" s="43">
        <v>862.9</v>
      </c>
      <c r="I141" s="43">
        <f>I126+I129+I132+I135+I138</f>
        <v>816.9</v>
      </c>
      <c r="J141" s="43">
        <f>J126+J129+J132+J135+J138</f>
        <v>816.9</v>
      </c>
    </row>
    <row r="142" spans="1:10" ht="12.75" customHeight="1" x14ac:dyDescent="0.2">
      <c r="A142" s="139"/>
      <c r="B142" s="140"/>
      <c r="C142" s="141"/>
      <c r="D142" s="59" t="s">
        <v>10</v>
      </c>
      <c r="E142" s="43">
        <f>SUM(F142:J142)</f>
        <v>0</v>
      </c>
      <c r="F142" s="43">
        <f t="shared" si="57"/>
        <v>0</v>
      </c>
      <c r="G142" s="43">
        <f t="shared" si="57"/>
        <v>0</v>
      </c>
      <c r="H142" s="43">
        <f t="shared" si="57"/>
        <v>0</v>
      </c>
      <c r="I142" s="43">
        <f t="shared" si="57"/>
        <v>0</v>
      </c>
      <c r="J142" s="43">
        <f t="shared" si="57"/>
        <v>0</v>
      </c>
    </row>
    <row r="143" spans="1:10" ht="14.25" customHeight="1" x14ac:dyDescent="0.2">
      <c r="A143" s="155" t="s">
        <v>58</v>
      </c>
      <c r="B143" s="156"/>
      <c r="C143" s="156"/>
      <c r="D143" s="156"/>
      <c r="E143" s="156"/>
      <c r="F143" s="156"/>
      <c r="G143" s="156"/>
      <c r="H143" s="156"/>
      <c r="I143" s="156"/>
      <c r="J143" s="156"/>
    </row>
    <row r="144" spans="1:10" ht="18.75" customHeight="1" x14ac:dyDescent="0.2">
      <c r="A144" s="115" t="s">
        <v>150</v>
      </c>
      <c r="B144" s="118" t="s">
        <v>273</v>
      </c>
      <c r="C144" s="121" t="s">
        <v>192</v>
      </c>
      <c r="D144" s="59" t="s">
        <v>109</v>
      </c>
      <c r="E144" s="43">
        <f>E145+E146</f>
        <v>136.69999999999999</v>
      </c>
      <c r="F144" s="43">
        <f t="shared" ref="F144:J144" si="58">F145+F146</f>
        <v>0</v>
      </c>
      <c r="G144" s="43">
        <f t="shared" si="58"/>
        <v>67</v>
      </c>
      <c r="H144" s="43">
        <f t="shared" si="58"/>
        <v>69.7</v>
      </c>
      <c r="I144" s="43">
        <f t="shared" si="58"/>
        <v>0</v>
      </c>
      <c r="J144" s="43">
        <f t="shared" si="58"/>
        <v>0</v>
      </c>
    </row>
    <row r="145" spans="1:14" ht="14.25" customHeight="1" x14ac:dyDescent="0.2">
      <c r="A145" s="116"/>
      <c r="B145" s="119"/>
      <c r="C145" s="122"/>
      <c r="D145" s="59" t="s">
        <v>11</v>
      </c>
      <c r="E145" s="43">
        <f>SUM(F145:J145)</f>
        <v>136.69999999999999</v>
      </c>
      <c r="F145" s="43">
        <v>0</v>
      </c>
      <c r="G145" s="43">
        <v>67</v>
      </c>
      <c r="H145" s="43">
        <v>69.7</v>
      </c>
      <c r="I145" s="43">
        <v>0</v>
      </c>
      <c r="J145" s="43">
        <v>0</v>
      </c>
    </row>
    <row r="146" spans="1:14" ht="14.25" customHeight="1" x14ac:dyDescent="0.2">
      <c r="A146" s="117"/>
      <c r="B146" s="120"/>
      <c r="C146" s="123"/>
      <c r="D146" s="59" t="s">
        <v>10</v>
      </c>
      <c r="E146" s="43">
        <f>F146+G146+H146</f>
        <v>0</v>
      </c>
      <c r="F146" s="43">
        <v>0</v>
      </c>
      <c r="G146" s="43">
        <v>0</v>
      </c>
      <c r="H146" s="43">
        <v>0</v>
      </c>
      <c r="I146" s="43">
        <v>0</v>
      </c>
      <c r="J146" s="43">
        <v>0</v>
      </c>
    </row>
    <row r="147" spans="1:14" ht="18.75" customHeight="1" x14ac:dyDescent="0.2">
      <c r="A147" s="115" t="s">
        <v>151</v>
      </c>
      <c r="B147" s="118" t="s">
        <v>60</v>
      </c>
      <c r="C147" s="121" t="s">
        <v>192</v>
      </c>
      <c r="D147" s="59" t="s">
        <v>109</v>
      </c>
      <c r="E147" s="43">
        <f>E148+E149</f>
        <v>10006.700000000001</v>
      </c>
      <c r="F147" s="43">
        <f t="shared" ref="F147:J147" si="59">F148+F149</f>
        <v>3232</v>
      </c>
      <c r="G147" s="43">
        <f t="shared" si="59"/>
        <v>171</v>
      </c>
      <c r="H147" s="43">
        <f t="shared" si="59"/>
        <v>139.69999999999999</v>
      </c>
      <c r="I147" s="43">
        <f t="shared" si="59"/>
        <v>3232</v>
      </c>
      <c r="J147" s="43">
        <f t="shared" si="59"/>
        <v>3232</v>
      </c>
    </row>
    <row r="148" spans="1:14" ht="14.25" customHeight="1" x14ac:dyDescent="0.2">
      <c r="A148" s="116"/>
      <c r="B148" s="119"/>
      <c r="C148" s="122"/>
      <c r="D148" s="59" t="s">
        <v>11</v>
      </c>
      <c r="E148" s="43">
        <f>SUM(F148:J148)</f>
        <v>10006.700000000001</v>
      </c>
      <c r="F148" s="43">
        <f>129.1+35.5+3067.4</f>
        <v>3232</v>
      </c>
      <c r="G148" s="43">
        <f>134.3+36.7</f>
        <v>171</v>
      </c>
      <c r="H148" s="43">
        <v>139.69999999999999</v>
      </c>
      <c r="I148" s="43">
        <f>129.1+35.5+3067.4</f>
        <v>3232</v>
      </c>
      <c r="J148" s="43">
        <f>129.1+35.5+3067.4</f>
        <v>3232</v>
      </c>
    </row>
    <row r="149" spans="1:14" ht="14.25" customHeight="1" x14ac:dyDescent="0.2">
      <c r="A149" s="117"/>
      <c r="B149" s="120"/>
      <c r="C149" s="123"/>
      <c r="D149" s="59" t="s">
        <v>10</v>
      </c>
      <c r="E149" s="43">
        <f>SUM(F149:J149)</f>
        <v>0</v>
      </c>
      <c r="F149" s="43">
        <v>0</v>
      </c>
      <c r="G149" s="43">
        <v>0</v>
      </c>
      <c r="H149" s="43">
        <v>0</v>
      </c>
      <c r="I149" s="43">
        <v>0</v>
      </c>
      <c r="J149" s="43">
        <v>0</v>
      </c>
    </row>
    <row r="150" spans="1:14" ht="18" customHeight="1" x14ac:dyDescent="0.2">
      <c r="A150" s="115" t="s">
        <v>152</v>
      </c>
      <c r="B150" s="130" t="s">
        <v>325</v>
      </c>
      <c r="C150" s="121" t="s">
        <v>192</v>
      </c>
      <c r="D150" s="59" t="s">
        <v>109</v>
      </c>
      <c r="E150" s="43">
        <f>E151+E152</f>
        <v>146.9</v>
      </c>
      <c r="F150" s="43">
        <f t="shared" ref="F150:J150" si="60">F151+F152</f>
        <v>28.7</v>
      </c>
      <c r="G150" s="43">
        <f t="shared" si="60"/>
        <v>29.8</v>
      </c>
      <c r="H150" s="43">
        <f t="shared" si="60"/>
        <v>31</v>
      </c>
      <c r="I150" s="43">
        <f t="shared" si="60"/>
        <v>28.7</v>
      </c>
      <c r="J150" s="43">
        <f t="shared" si="60"/>
        <v>28.7</v>
      </c>
    </row>
    <row r="151" spans="1:14" ht="14.25" customHeight="1" x14ac:dyDescent="0.2">
      <c r="A151" s="116"/>
      <c r="B151" s="131"/>
      <c r="C151" s="122"/>
      <c r="D151" s="59" t="s">
        <v>11</v>
      </c>
      <c r="E151" s="43">
        <f>SUM(F151:J151)</f>
        <v>146.9</v>
      </c>
      <c r="F151" s="43">
        <v>28.7</v>
      </c>
      <c r="G151" s="43">
        <v>29.8</v>
      </c>
      <c r="H151" s="43">
        <v>31</v>
      </c>
      <c r="I151" s="43">
        <v>28.7</v>
      </c>
      <c r="J151" s="43">
        <v>28.7</v>
      </c>
    </row>
    <row r="152" spans="1:14" ht="14.25" customHeight="1" x14ac:dyDescent="0.2">
      <c r="A152" s="117"/>
      <c r="B152" s="132"/>
      <c r="C152" s="123"/>
      <c r="D152" s="59" t="s">
        <v>10</v>
      </c>
      <c r="E152" s="43">
        <f>SUM(F152:J152)</f>
        <v>0</v>
      </c>
      <c r="F152" s="43">
        <v>0</v>
      </c>
      <c r="G152" s="43">
        <v>0</v>
      </c>
      <c r="H152" s="43">
        <v>0</v>
      </c>
      <c r="I152" s="43">
        <v>0</v>
      </c>
      <c r="J152" s="43">
        <v>0</v>
      </c>
    </row>
    <row r="153" spans="1:14" ht="11.25" customHeight="1" x14ac:dyDescent="0.2">
      <c r="A153" s="115" t="s">
        <v>153</v>
      </c>
      <c r="B153" s="118" t="s">
        <v>61</v>
      </c>
      <c r="C153" s="121" t="s">
        <v>192</v>
      </c>
      <c r="D153" s="59" t="s">
        <v>109</v>
      </c>
      <c r="E153" s="43">
        <f>E154+E155</f>
        <v>661.2</v>
      </c>
      <c r="F153" s="43">
        <f t="shared" ref="F153:J153" si="61">F154+F155</f>
        <v>129.1</v>
      </c>
      <c r="G153" s="43">
        <f t="shared" si="61"/>
        <v>134.30000000000001</v>
      </c>
      <c r="H153" s="43">
        <f t="shared" si="61"/>
        <v>139.6</v>
      </c>
      <c r="I153" s="43">
        <f t="shared" si="61"/>
        <v>129.1</v>
      </c>
      <c r="J153" s="43">
        <f t="shared" si="61"/>
        <v>129.1</v>
      </c>
    </row>
    <row r="154" spans="1:14" ht="28.5" customHeight="1" x14ac:dyDescent="0.2">
      <c r="A154" s="116"/>
      <c r="B154" s="119"/>
      <c r="C154" s="122"/>
      <c r="D154" s="59" t="s">
        <v>11</v>
      </c>
      <c r="E154" s="43">
        <f>SUM(F154:J154)</f>
        <v>661.2</v>
      </c>
      <c r="F154" s="43">
        <v>129.1</v>
      </c>
      <c r="G154" s="43">
        <v>134.30000000000001</v>
      </c>
      <c r="H154" s="43">
        <v>139.6</v>
      </c>
      <c r="I154" s="43">
        <v>129.1</v>
      </c>
      <c r="J154" s="43">
        <v>129.1</v>
      </c>
      <c r="N154" s="46"/>
    </row>
    <row r="155" spans="1:14" ht="17.25" customHeight="1" x14ac:dyDescent="0.2">
      <c r="A155" s="117"/>
      <c r="B155" s="120"/>
      <c r="C155" s="123"/>
      <c r="D155" s="59" t="s">
        <v>10</v>
      </c>
      <c r="E155" s="43">
        <f>SUM(F155:J155)</f>
        <v>0</v>
      </c>
      <c r="F155" s="43">
        <v>0</v>
      </c>
      <c r="G155" s="43">
        <v>0</v>
      </c>
      <c r="H155" s="43">
        <v>0</v>
      </c>
      <c r="I155" s="43">
        <v>0</v>
      </c>
      <c r="J155" s="43">
        <v>0</v>
      </c>
      <c r="K155" s="46"/>
      <c r="L155" s="46"/>
      <c r="M155" s="46"/>
    </row>
    <row r="156" spans="1:14" ht="17.25" customHeight="1" x14ac:dyDescent="0.2">
      <c r="A156" s="115" t="s">
        <v>154</v>
      </c>
      <c r="B156" s="118" t="s">
        <v>322</v>
      </c>
      <c r="C156" s="121" t="s">
        <v>192</v>
      </c>
      <c r="D156" s="59" t="s">
        <v>109</v>
      </c>
      <c r="E156" s="43">
        <f>E157+E158</f>
        <v>220.2</v>
      </c>
      <c r="F156" s="43">
        <f t="shared" ref="F156:J156" si="62">F157+F158</f>
        <v>43</v>
      </c>
      <c r="G156" s="43">
        <f t="shared" si="62"/>
        <v>44.7</v>
      </c>
      <c r="H156" s="43">
        <f t="shared" si="62"/>
        <v>46.5</v>
      </c>
      <c r="I156" s="43">
        <f t="shared" si="62"/>
        <v>43</v>
      </c>
      <c r="J156" s="43">
        <f t="shared" si="62"/>
        <v>43</v>
      </c>
    </row>
    <row r="157" spans="1:14" ht="14.25" customHeight="1" x14ac:dyDescent="0.2">
      <c r="A157" s="116"/>
      <c r="B157" s="119"/>
      <c r="C157" s="122"/>
      <c r="D157" s="59" t="s">
        <v>11</v>
      </c>
      <c r="E157" s="43">
        <f>SUM(F157:J157)</f>
        <v>220.2</v>
      </c>
      <c r="F157" s="43">
        <v>43</v>
      </c>
      <c r="G157" s="43">
        <v>44.7</v>
      </c>
      <c r="H157" s="43">
        <v>46.5</v>
      </c>
      <c r="I157" s="43">
        <v>43</v>
      </c>
      <c r="J157" s="43">
        <v>43</v>
      </c>
    </row>
    <row r="158" spans="1:14" ht="11.25" customHeight="1" x14ac:dyDescent="0.2">
      <c r="A158" s="117"/>
      <c r="B158" s="120"/>
      <c r="C158" s="123"/>
      <c r="D158" s="59" t="s">
        <v>10</v>
      </c>
      <c r="E158" s="43">
        <f>SUM(F158:J158)</f>
        <v>0</v>
      </c>
      <c r="F158" s="43">
        <v>0</v>
      </c>
      <c r="G158" s="43">
        <v>0</v>
      </c>
      <c r="H158" s="43">
        <v>0</v>
      </c>
      <c r="I158" s="43">
        <v>0</v>
      </c>
      <c r="J158" s="43">
        <v>0</v>
      </c>
      <c r="K158" s="46"/>
      <c r="L158" s="46"/>
      <c r="M158" s="46"/>
    </row>
    <row r="159" spans="1:14" ht="17.25" customHeight="1" x14ac:dyDescent="0.2">
      <c r="A159" s="115" t="s">
        <v>155</v>
      </c>
      <c r="B159" s="118" t="s">
        <v>62</v>
      </c>
      <c r="C159" s="121" t="s">
        <v>192</v>
      </c>
      <c r="D159" s="59" t="s">
        <v>109</v>
      </c>
      <c r="E159" s="43">
        <f>E160+E161</f>
        <v>367.59999999999997</v>
      </c>
      <c r="F159" s="43">
        <f t="shared" ref="F159:J159" si="63">F160+F161</f>
        <v>71.8</v>
      </c>
      <c r="G159" s="43">
        <f t="shared" si="63"/>
        <v>74.599999999999994</v>
      </c>
      <c r="H159" s="43">
        <f t="shared" si="63"/>
        <v>77.599999999999994</v>
      </c>
      <c r="I159" s="43">
        <f t="shared" si="63"/>
        <v>71.8</v>
      </c>
      <c r="J159" s="43">
        <f t="shared" si="63"/>
        <v>71.8</v>
      </c>
    </row>
    <row r="160" spans="1:14" ht="14.25" customHeight="1" x14ac:dyDescent="0.2">
      <c r="A160" s="116"/>
      <c r="B160" s="119"/>
      <c r="C160" s="122"/>
      <c r="D160" s="59" t="s">
        <v>11</v>
      </c>
      <c r="E160" s="43">
        <f>SUM(F160:J160)</f>
        <v>367.59999999999997</v>
      </c>
      <c r="F160" s="43">
        <v>71.8</v>
      </c>
      <c r="G160" s="43">
        <v>74.599999999999994</v>
      </c>
      <c r="H160" s="43">
        <v>77.599999999999994</v>
      </c>
      <c r="I160" s="43">
        <v>71.8</v>
      </c>
      <c r="J160" s="43">
        <v>71.8</v>
      </c>
    </row>
    <row r="161" spans="1:12" ht="11.25" customHeight="1" x14ac:dyDescent="0.2">
      <c r="A161" s="117"/>
      <c r="B161" s="120"/>
      <c r="C161" s="123"/>
      <c r="D161" s="59" t="s">
        <v>10</v>
      </c>
      <c r="E161" s="43">
        <f>SUM(F161:J161)</f>
        <v>0</v>
      </c>
      <c r="F161" s="43">
        <v>0</v>
      </c>
      <c r="G161" s="43">
        <v>0</v>
      </c>
      <c r="H161" s="43">
        <v>0</v>
      </c>
      <c r="I161" s="43">
        <v>0</v>
      </c>
      <c r="J161" s="43">
        <v>0</v>
      </c>
    </row>
    <row r="162" spans="1:12" ht="18" customHeight="1" x14ac:dyDescent="0.2">
      <c r="A162" s="115" t="s">
        <v>156</v>
      </c>
      <c r="B162" s="118" t="s">
        <v>63</v>
      </c>
      <c r="C162" s="121" t="s">
        <v>192</v>
      </c>
      <c r="D162" s="59" t="s">
        <v>109</v>
      </c>
      <c r="E162" s="43">
        <f>E163+E164</f>
        <v>7500</v>
      </c>
      <c r="F162" s="43">
        <f t="shared" ref="F162:J162" si="64">F163+F164</f>
        <v>2500</v>
      </c>
      <c r="G162" s="43">
        <f t="shared" si="64"/>
        <v>0</v>
      </c>
      <c r="H162" s="43">
        <f t="shared" si="64"/>
        <v>0</v>
      </c>
      <c r="I162" s="43">
        <f t="shared" si="64"/>
        <v>2500</v>
      </c>
      <c r="J162" s="43">
        <f t="shared" si="64"/>
        <v>2500</v>
      </c>
      <c r="K162" s="46"/>
      <c r="L162" s="46"/>
    </row>
    <row r="163" spans="1:12" ht="14.25" customHeight="1" x14ac:dyDescent="0.2">
      <c r="A163" s="116"/>
      <c r="B163" s="119"/>
      <c r="C163" s="122"/>
      <c r="D163" s="59" t="s">
        <v>11</v>
      </c>
      <c r="E163" s="43">
        <f>SUM(F163:J163)</f>
        <v>7500</v>
      </c>
      <c r="F163" s="43">
        <v>2500</v>
      </c>
      <c r="G163" s="43">
        <v>0</v>
      </c>
      <c r="H163" s="43">
        <v>0</v>
      </c>
      <c r="I163" s="43">
        <v>2500</v>
      </c>
      <c r="J163" s="43">
        <v>2500</v>
      </c>
    </row>
    <row r="164" spans="1:12" ht="10.5" customHeight="1" x14ac:dyDescent="0.2">
      <c r="A164" s="117"/>
      <c r="B164" s="120"/>
      <c r="C164" s="123"/>
      <c r="D164" s="59" t="s">
        <v>10</v>
      </c>
      <c r="E164" s="43">
        <f>SUM(F164:J164)</f>
        <v>0</v>
      </c>
      <c r="F164" s="43">
        <v>0</v>
      </c>
      <c r="G164" s="43">
        <v>0</v>
      </c>
      <c r="H164" s="43">
        <v>0</v>
      </c>
      <c r="I164" s="43">
        <v>0</v>
      </c>
      <c r="J164" s="43">
        <v>0</v>
      </c>
    </row>
    <row r="165" spans="1:12" ht="18.75" customHeight="1" x14ac:dyDescent="0.2">
      <c r="A165" s="115" t="s">
        <v>157</v>
      </c>
      <c r="B165" s="118" t="s">
        <v>64</v>
      </c>
      <c r="C165" s="121" t="s">
        <v>192</v>
      </c>
      <c r="D165" s="59" t="s">
        <v>109</v>
      </c>
      <c r="E165" s="43">
        <f>E166+E167</f>
        <v>298078.09999999998</v>
      </c>
      <c r="F165" s="43">
        <f t="shared" ref="F165:J165" si="65">F166</f>
        <v>59411.4</v>
      </c>
      <c r="G165" s="43">
        <f t="shared" si="65"/>
        <v>59735.4</v>
      </c>
      <c r="H165" s="43">
        <f t="shared" si="65"/>
        <v>60108.5</v>
      </c>
      <c r="I165" s="43">
        <f t="shared" si="65"/>
        <v>59411.4</v>
      </c>
      <c r="J165" s="43">
        <f t="shared" si="65"/>
        <v>59411.4</v>
      </c>
    </row>
    <row r="166" spans="1:12" ht="14.25" customHeight="1" x14ac:dyDescent="0.2">
      <c r="A166" s="116"/>
      <c r="B166" s="119"/>
      <c r="C166" s="122"/>
      <c r="D166" s="59" t="s">
        <v>11</v>
      </c>
      <c r="E166" s="43">
        <f>SUM(F166:J166)</f>
        <v>298078.09999999998</v>
      </c>
      <c r="F166" s="43">
        <v>59411.4</v>
      </c>
      <c r="G166" s="43">
        <v>59735.4</v>
      </c>
      <c r="H166" s="43">
        <v>60108.5</v>
      </c>
      <c r="I166" s="43">
        <v>59411.4</v>
      </c>
      <c r="J166" s="43">
        <v>59411.4</v>
      </c>
    </row>
    <row r="167" spans="1:12" ht="12.75" customHeight="1" x14ac:dyDescent="0.2">
      <c r="A167" s="117"/>
      <c r="B167" s="120"/>
      <c r="C167" s="123"/>
      <c r="D167" s="59" t="s">
        <v>10</v>
      </c>
      <c r="E167" s="43">
        <f>SUM(F167:J167)</f>
        <v>0</v>
      </c>
      <c r="F167" s="43">
        <v>0</v>
      </c>
      <c r="G167" s="43">
        <v>0</v>
      </c>
      <c r="H167" s="43">
        <v>0</v>
      </c>
      <c r="I167" s="43">
        <v>0</v>
      </c>
      <c r="J167" s="43">
        <v>0</v>
      </c>
    </row>
    <row r="168" spans="1:12" ht="15.75" customHeight="1" x14ac:dyDescent="0.2">
      <c r="A168" s="133" t="s">
        <v>187</v>
      </c>
      <c r="B168" s="134"/>
      <c r="C168" s="135"/>
      <c r="D168" s="59" t="s">
        <v>109</v>
      </c>
      <c r="E168" s="43">
        <f>E169+E170</f>
        <v>317117.40000000002</v>
      </c>
      <c r="F168" s="43">
        <f t="shared" ref="F168:J168" si="66">F169+F170</f>
        <v>65416</v>
      </c>
      <c r="G168" s="43">
        <f t="shared" si="66"/>
        <v>60256.800000000003</v>
      </c>
      <c r="H168" s="43">
        <f t="shared" si="66"/>
        <v>60612.599999999991</v>
      </c>
      <c r="I168" s="43">
        <f t="shared" si="66"/>
        <v>65416</v>
      </c>
      <c r="J168" s="43">
        <f t="shared" si="66"/>
        <v>65416</v>
      </c>
    </row>
    <row r="169" spans="1:12" ht="13.5" customHeight="1" x14ac:dyDescent="0.2">
      <c r="A169" s="136"/>
      <c r="B169" s="137"/>
      <c r="C169" s="138"/>
      <c r="D169" s="59" t="s">
        <v>11</v>
      </c>
      <c r="E169" s="43">
        <f>SUM(F169:J169)</f>
        <v>317117.40000000002</v>
      </c>
      <c r="F169" s="43">
        <f t="shared" ref="F169:J169" si="67">F166+F163+F160+F157+F154+F151+F148+F145</f>
        <v>65416</v>
      </c>
      <c r="G169" s="43">
        <f>G145+G148+G151+G154+G157+G160+G166</f>
        <v>60256.800000000003</v>
      </c>
      <c r="H169" s="43">
        <f t="shared" si="67"/>
        <v>60612.599999999991</v>
      </c>
      <c r="I169" s="43">
        <f t="shared" si="67"/>
        <v>65416</v>
      </c>
      <c r="J169" s="43">
        <f t="shared" si="67"/>
        <v>65416</v>
      </c>
    </row>
    <row r="170" spans="1:12" ht="12" customHeight="1" x14ac:dyDescent="0.2">
      <c r="A170" s="139"/>
      <c r="B170" s="140"/>
      <c r="C170" s="141"/>
      <c r="D170" s="59" t="s">
        <v>10</v>
      </c>
      <c r="E170" s="43">
        <f>E146+E149+E152+E155+E158+E161+E164+E167</f>
        <v>0</v>
      </c>
      <c r="F170" s="43">
        <f t="shared" ref="F170:H170" si="68">F146+F149+F152+F155+F158+F161+F164+F167</f>
        <v>0</v>
      </c>
      <c r="G170" s="43">
        <f t="shared" si="68"/>
        <v>0</v>
      </c>
      <c r="H170" s="43">
        <f t="shared" si="68"/>
        <v>0</v>
      </c>
      <c r="I170" s="58"/>
      <c r="J170" s="58"/>
    </row>
    <row r="171" spans="1:12" ht="11.25" customHeight="1" x14ac:dyDescent="0.2">
      <c r="A171" s="155" t="s">
        <v>294</v>
      </c>
      <c r="B171" s="156"/>
      <c r="C171" s="156"/>
      <c r="D171" s="156"/>
      <c r="E171" s="156"/>
      <c r="F171" s="156"/>
      <c r="G171" s="156"/>
      <c r="H171" s="156"/>
      <c r="I171" s="156"/>
      <c r="J171" s="156"/>
    </row>
    <row r="172" spans="1:12" ht="16.5" customHeight="1" x14ac:dyDescent="0.2">
      <c r="A172" s="115" t="s">
        <v>406</v>
      </c>
      <c r="B172" s="118" t="s">
        <v>407</v>
      </c>
      <c r="C172" s="121" t="s">
        <v>403</v>
      </c>
      <c r="D172" s="59" t="s">
        <v>109</v>
      </c>
      <c r="E172" s="43">
        <f>E173+E174</f>
        <v>31454.5</v>
      </c>
      <c r="F172" s="43">
        <f t="shared" ref="F172:J172" si="69">F173+F174</f>
        <v>2415.3000000000002</v>
      </c>
      <c r="G172" s="43">
        <f t="shared" si="69"/>
        <v>2137.4</v>
      </c>
      <c r="H172" s="43">
        <f t="shared" si="69"/>
        <v>3000</v>
      </c>
      <c r="I172" s="43">
        <f t="shared" si="69"/>
        <v>11950.9</v>
      </c>
      <c r="J172" s="43">
        <f t="shared" si="69"/>
        <v>11950.9</v>
      </c>
    </row>
    <row r="173" spans="1:12" ht="14.25" customHeight="1" x14ac:dyDescent="0.2">
      <c r="A173" s="116"/>
      <c r="B173" s="119"/>
      <c r="C173" s="122"/>
      <c r="D173" s="59" t="s">
        <v>11</v>
      </c>
      <c r="E173" s="43">
        <f>SUM(F173:J173)</f>
        <v>31454.5</v>
      </c>
      <c r="F173" s="43">
        <f>2695.3-280</f>
        <v>2415.3000000000002</v>
      </c>
      <c r="G173" s="43">
        <v>2137.4</v>
      </c>
      <c r="H173" s="43">
        <v>3000</v>
      </c>
      <c r="I173" s="55">
        <v>11950.9</v>
      </c>
      <c r="J173" s="55">
        <v>11950.9</v>
      </c>
    </row>
    <row r="174" spans="1:12" ht="9.75" customHeight="1" x14ac:dyDescent="0.2">
      <c r="A174" s="117"/>
      <c r="B174" s="120"/>
      <c r="C174" s="123"/>
      <c r="D174" s="59" t="s">
        <v>10</v>
      </c>
      <c r="E174" s="43">
        <f>SUM(F174:J174)</f>
        <v>0</v>
      </c>
      <c r="F174" s="43">
        <v>0</v>
      </c>
      <c r="G174" s="43">
        <v>0</v>
      </c>
      <c r="H174" s="43">
        <v>0</v>
      </c>
      <c r="I174" s="43">
        <v>0</v>
      </c>
      <c r="J174" s="43">
        <v>0</v>
      </c>
    </row>
    <row r="175" spans="1:12" ht="13.5" customHeight="1" x14ac:dyDescent="0.2">
      <c r="A175" s="115" t="s">
        <v>361</v>
      </c>
      <c r="B175" s="118" t="s">
        <v>370</v>
      </c>
      <c r="C175" s="121" t="s">
        <v>293</v>
      </c>
      <c r="D175" s="59" t="s">
        <v>109</v>
      </c>
      <c r="E175" s="43">
        <f>E176+E177</f>
        <v>1614.36</v>
      </c>
      <c r="F175" s="43">
        <f t="shared" ref="F175:H175" si="70">F176+F177</f>
        <v>1614.36</v>
      </c>
      <c r="G175" s="43">
        <f t="shared" si="70"/>
        <v>0</v>
      </c>
      <c r="H175" s="43">
        <f t="shared" si="70"/>
        <v>0</v>
      </c>
      <c r="I175" s="43">
        <f t="shared" ref="I175:J175" si="71">I176+I177</f>
        <v>0</v>
      </c>
      <c r="J175" s="43">
        <f t="shared" si="71"/>
        <v>0</v>
      </c>
    </row>
    <row r="176" spans="1:12" ht="12" customHeight="1" x14ac:dyDescent="0.2">
      <c r="A176" s="116"/>
      <c r="B176" s="119"/>
      <c r="C176" s="122"/>
      <c r="D176" s="59" t="s">
        <v>11</v>
      </c>
      <c r="E176" s="43">
        <f>SUM(F176:J176)</f>
        <v>1614.36</v>
      </c>
      <c r="F176" s="43">
        <f t="shared" ref="F176:G176" si="72">F179+F182+F185+F188</f>
        <v>1614.36</v>
      </c>
      <c r="G176" s="43">
        <f t="shared" si="72"/>
        <v>0</v>
      </c>
      <c r="H176" s="43">
        <v>0</v>
      </c>
      <c r="I176" s="43">
        <v>0</v>
      </c>
      <c r="J176" s="43">
        <v>0</v>
      </c>
    </row>
    <row r="177" spans="1:10" ht="10.5" customHeight="1" x14ac:dyDescent="0.2">
      <c r="A177" s="117"/>
      <c r="B177" s="120"/>
      <c r="C177" s="122"/>
      <c r="D177" s="59" t="s">
        <v>10</v>
      </c>
      <c r="E177" s="43">
        <f>SUM(F177:J177)</f>
        <v>0</v>
      </c>
      <c r="F177" s="43">
        <f t="shared" ref="F177:H177" si="73">F180+F183+F186+F189</f>
        <v>0</v>
      </c>
      <c r="G177" s="43">
        <f t="shared" si="73"/>
        <v>0</v>
      </c>
      <c r="H177" s="43">
        <f t="shared" si="73"/>
        <v>0</v>
      </c>
      <c r="I177" s="43">
        <f t="shared" ref="I177:J177" si="74">I180+I183+I186+I189</f>
        <v>0</v>
      </c>
      <c r="J177" s="43">
        <f t="shared" si="74"/>
        <v>0</v>
      </c>
    </row>
    <row r="178" spans="1:10" ht="12.75" customHeight="1" x14ac:dyDescent="0.2">
      <c r="A178" s="115" t="s">
        <v>362</v>
      </c>
      <c r="B178" s="118" t="s">
        <v>360</v>
      </c>
      <c r="C178" s="122"/>
      <c r="D178" s="59" t="s">
        <v>109</v>
      </c>
      <c r="E178" s="43">
        <f>E179+E180</f>
        <v>1046.56</v>
      </c>
      <c r="F178" s="43">
        <f t="shared" ref="F178:H178" si="75">F179+F180</f>
        <v>1046.56</v>
      </c>
      <c r="G178" s="43">
        <f t="shared" si="75"/>
        <v>0</v>
      </c>
      <c r="H178" s="43">
        <f t="shared" si="75"/>
        <v>0</v>
      </c>
      <c r="I178" s="43">
        <f t="shared" ref="I178:J178" si="76">I179+I180</f>
        <v>0</v>
      </c>
      <c r="J178" s="43">
        <f t="shared" si="76"/>
        <v>0</v>
      </c>
    </row>
    <row r="179" spans="1:10" ht="12" customHeight="1" x14ac:dyDescent="0.2">
      <c r="A179" s="116"/>
      <c r="B179" s="119"/>
      <c r="C179" s="122"/>
      <c r="D179" s="59" t="s">
        <v>11</v>
      </c>
      <c r="E179" s="43">
        <f>SUM(F179:J179)</f>
        <v>1046.56</v>
      </c>
      <c r="F179" s="43">
        <f>379.77+164.66+222.13+280</f>
        <v>1046.56</v>
      </c>
      <c r="G179" s="43">
        <v>0</v>
      </c>
      <c r="H179" s="43">
        <v>0</v>
      </c>
      <c r="I179" s="43">
        <v>0</v>
      </c>
      <c r="J179" s="43">
        <v>0</v>
      </c>
    </row>
    <row r="180" spans="1:10" ht="10.5" customHeight="1" x14ac:dyDescent="0.2">
      <c r="A180" s="117"/>
      <c r="B180" s="120"/>
      <c r="C180" s="122"/>
      <c r="D180" s="59" t="s">
        <v>10</v>
      </c>
      <c r="E180" s="43">
        <f>SUM(F180:J180)</f>
        <v>0</v>
      </c>
      <c r="F180" s="43">
        <v>0</v>
      </c>
      <c r="G180" s="43">
        <v>0</v>
      </c>
      <c r="H180" s="43">
        <v>0</v>
      </c>
      <c r="I180" s="43">
        <v>0</v>
      </c>
      <c r="J180" s="43">
        <v>0</v>
      </c>
    </row>
    <row r="181" spans="1:10" ht="14.25" customHeight="1" x14ac:dyDescent="0.2">
      <c r="A181" s="115" t="s">
        <v>363</v>
      </c>
      <c r="B181" s="118" t="s">
        <v>367</v>
      </c>
      <c r="C181" s="122"/>
      <c r="D181" s="59" t="s">
        <v>109</v>
      </c>
      <c r="E181" s="43">
        <f>E182+E183</f>
        <v>474.3</v>
      </c>
      <c r="F181" s="43">
        <f t="shared" ref="F181:H181" si="77">F182+F183</f>
        <v>474.3</v>
      </c>
      <c r="G181" s="43">
        <f t="shared" si="77"/>
        <v>0</v>
      </c>
      <c r="H181" s="43">
        <f t="shared" si="77"/>
        <v>0</v>
      </c>
      <c r="I181" s="43">
        <f t="shared" ref="I181:J181" si="78">I182+I183</f>
        <v>0</v>
      </c>
      <c r="J181" s="43">
        <f t="shared" si="78"/>
        <v>0</v>
      </c>
    </row>
    <row r="182" spans="1:10" ht="14.25" customHeight="1" x14ac:dyDescent="0.2">
      <c r="A182" s="116"/>
      <c r="B182" s="119"/>
      <c r="C182" s="122"/>
      <c r="D182" s="59" t="s">
        <v>11</v>
      </c>
      <c r="E182" s="43">
        <f>SUM(F182:J182)</f>
        <v>474.3</v>
      </c>
      <c r="F182" s="43">
        <v>474.3</v>
      </c>
      <c r="G182" s="43">
        <v>0</v>
      </c>
      <c r="H182" s="43">
        <v>0</v>
      </c>
      <c r="I182" s="43">
        <v>0</v>
      </c>
      <c r="J182" s="43">
        <v>0</v>
      </c>
    </row>
    <row r="183" spans="1:10" ht="12.75" customHeight="1" x14ac:dyDescent="0.2">
      <c r="A183" s="117"/>
      <c r="B183" s="120"/>
      <c r="C183" s="122"/>
      <c r="D183" s="59" t="s">
        <v>10</v>
      </c>
      <c r="E183" s="43">
        <f>SUM(F183:J183)</f>
        <v>0</v>
      </c>
      <c r="F183" s="43">
        <v>0</v>
      </c>
      <c r="G183" s="43">
        <v>0</v>
      </c>
      <c r="H183" s="43">
        <v>0</v>
      </c>
      <c r="I183" s="43">
        <v>0</v>
      </c>
      <c r="J183" s="43">
        <v>0</v>
      </c>
    </row>
    <row r="184" spans="1:10" ht="14.25" customHeight="1" x14ac:dyDescent="0.2">
      <c r="A184" s="115" t="s">
        <v>364</v>
      </c>
      <c r="B184" s="118" t="s">
        <v>366</v>
      </c>
      <c r="C184" s="122"/>
      <c r="D184" s="59" t="s">
        <v>109</v>
      </c>
      <c r="E184" s="43">
        <f>E185+E186</f>
        <v>0</v>
      </c>
      <c r="F184" s="43">
        <f t="shared" ref="F184:H184" si="79">F185+F186</f>
        <v>0</v>
      </c>
      <c r="G184" s="43">
        <f t="shared" si="79"/>
        <v>0</v>
      </c>
      <c r="H184" s="43">
        <f t="shared" si="79"/>
        <v>0</v>
      </c>
      <c r="I184" s="43">
        <f t="shared" ref="I184:J184" si="80">I185+I186</f>
        <v>0</v>
      </c>
      <c r="J184" s="43">
        <f t="shared" si="80"/>
        <v>0</v>
      </c>
    </row>
    <row r="185" spans="1:10" ht="14.25" customHeight="1" x14ac:dyDescent="0.2">
      <c r="A185" s="116"/>
      <c r="B185" s="119"/>
      <c r="C185" s="122"/>
      <c r="D185" s="59" t="s">
        <v>11</v>
      </c>
      <c r="E185" s="43">
        <f>SUM(F185:J185)</f>
        <v>0</v>
      </c>
      <c r="F185" s="43">
        <v>0</v>
      </c>
      <c r="G185" s="43">
        <v>0</v>
      </c>
      <c r="H185" s="43">
        <v>0</v>
      </c>
      <c r="I185" s="43">
        <v>0</v>
      </c>
      <c r="J185" s="43">
        <v>0</v>
      </c>
    </row>
    <row r="186" spans="1:10" ht="11.25" customHeight="1" x14ac:dyDescent="0.2">
      <c r="A186" s="117"/>
      <c r="B186" s="120"/>
      <c r="C186" s="122"/>
      <c r="D186" s="59" t="s">
        <v>10</v>
      </c>
      <c r="E186" s="43">
        <f>SUM(F186:J186)</f>
        <v>0</v>
      </c>
      <c r="F186" s="43">
        <v>0</v>
      </c>
      <c r="G186" s="43">
        <v>0</v>
      </c>
      <c r="H186" s="43">
        <v>0</v>
      </c>
      <c r="I186" s="43">
        <v>0</v>
      </c>
      <c r="J186" s="43">
        <v>0</v>
      </c>
    </row>
    <row r="187" spans="1:10" ht="14.25" customHeight="1" x14ac:dyDescent="0.2">
      <c r="A187" s="115" t="s">
        <v>365</v>
      </c>
      <c r="B187" s="118" t="s">
        <v>66</v>
      </c>
      <c r="C187" s="122"/>
      <c r="D187" s="59" t="s">
        <v>109</v>
      </c>
      <c r="E187" s="43">
        <f>E188+E189</f>
        <v>93.5</v>
      </c>
      <c r="F187" s="43">
        <f t="shared" ref="F187:H187" si="81">F188+F189</f>
        <v>93.5</v>
      </c>
      <c r="G187" s="43">
        <f t="shared" si="81"/>
        <v>0</v>
      </c>
      <c r="H187" s="43">
        <f t="shared" si="81"/>
        <v>0</v>
      </c>
      <c r="I187" s="43">
        <f t="shared" ref="I187:J187" si="82">I188+I189</f>
        <v>0</v>
      </c>
      <c r="J187" s="43">
        <f t="shared" si="82"/>
        <v>0</v>
      </c>
    </row>
    <row r="188" spans="1:10" ht="14.25" hidden="1" customHeight="1" x14ac:dyDescent="0.2">
      <c r="A188" s="116"/>
      <c r="B188" s="119"/>
      <c r="C188" s="122"/>
      <c r="D188" s="59" t="s">
        <v>11</v>
      </c>
      <c r="E188" s="43">
        <f>SUM(F188:J188)</f>
        <v>93.5</v>
      </c>
      <c r="F188" s="43">
        <v>93.5</v>
      </c>
      <c r="G188" s="43">
        <v>0</v>
      </c>
      <c r="H188" s="43">
        <v>0</v>
      </c>
      <c r="I188" s="43">
        <v>0</v>
      </c>
      <c r="J188" s="43">
        <v>0</v>
      </c>
    </row>
    <row r="189" spans="1:10" ht="14.25" hidden="1" customHeight="1" x14ac:dyDescent="0.2">
      <c r="A189" s="117"/>
      <c r="B189" s="120"/>
      <c r="C189" s="123"/>
      <c r="D189" s="59" t="s">
        <v>10</v>
      </c>
      <c r="E189" s="43">
        <f>SUM(F189:J189)</f>
        <v>0</v>
      </c>
      <c r="F189" s="43">
        <v>0</v>
      </c>
      <c r="G189" s="43">
        <v>0</v>
      </c>
      <c r="H189" s="43">
        <v>0</v>
      </c>
      <c r="I189" s="43">
        <v>0</v>
      </c>
      <c r="J189" s="43">
        <v>0</v>
      </c>
    </row>
    <row r="190" spans="1:10" ht="14.25" customHeight="1" x14ac:dyDescent="0.2">
      <c r="A190" s="115" t="s">
        <v>368</v>
      </c>
      <c r="B190" s="118" t="s">
        <v>369</v>
      </c>
      <c r="C190" s="121" t="s">
        <v>374</v>
      </c>
      <c r="D190" s="59" t="s">
        <v>109</v>
      </c>
      <c r="E190" s="43">
        <f>E191+E192</f>
        <v>533.29999999999995</v>
      </c>
      <c r="F190" s="43">
        <f t="shared" ref="F190" si="83">F191+F192</f>
        <v>533.29999999999995</v>
      </c>
      <c r="G190" s="43">
        <f t="shared" ref="G190" si="84">G191+G192</f>
        <v>0</v>
      </c>
      <c r="H190" s="43">
        <f t="shared" ref="H190:J190" si="85">H191+H192</f>
        <v>0</v>
      </c>
      <c r="I190" s="43">
        <f t="shared" si="85"/>
        <v>0</v>
      </c>
      <c r="J190" s="43">
        <f t="shared" si="85"/>
        <v>0</v>
      </c>
    </row>
    <row r="191" spans="1:10" ht="15.75" customHeight="1" x14ac:dyDescent="0.2">
      <c r="A191" s="116"/>
      <c r="B191" s="119"/>
      <c r="C191" s="122"/>
      <c r="D191" s="59" t="s">
        <v>11</v>
      </c>
      <c r="E191" s="43">
        <f>SUM(F191:J191)</f>
        <v>533.29999999999995</v>
      </c>
      <c r="F191" s="43">
        <f t="shared" ref="F191:G191" si="86">F194+F197+F200+F203</f>
        <v>533.29999999999995</v>
      </c>
      <c r="G191" s="43">
        <f t="shared" si="86"/>
        <v>0</v>
      </c>
      <c r="H191" s="43">
        <v>0</v>
      </c>
      <c r="I191" s="43">
        <v>0</v>
      </c>
      <c r="J191" s="43">
        <v>0</v>
      </c>
    </row>
    <row r="192" spans="1:10" ht="15.75" customHeight="1" x14ac:dyDescent="0.2">
      <c r="A192" s="117"/>
      <c r="B192" s="120"/>
      <c r="C192" s="122"/>
      <c r="D192" s="59" t="s">
        <v>10</v>
      </c>
      <c r="E192" s="43">
        <f>SUM(F192:J192)</f>
        <v>0</v>
      </c>
      <c r="F192" s="43">
        <f t="shared" ref="F192:H192" si="87">F195+F198+F201+F204</f>
        <v>0</v>
      </c>
      <c r="G192" s="43">
        <f t="shared" si="87"/>
        <v>0</v>
      </c>
      <c r="H192" s="43">
        <f t="shared" si="87"/>
        <v>0</v>
      </c>
      <c r="I192" s="43">
        <f t="shared" ref="I192:J192" si="88">I195+I198+I201+I204</f>
        <v>0</v>
      </c>
      <c r="J192" s="43">
        <f t="shared" si="88"/>
        <v>0</v>
      </c>
    </row>
    <row r="193" spans="1:10" ht="14.25" customHeight="1" x14ac:dyDescent="0.2">
      <c r="A193" s="115" t="s">
        <v>381</v>
      </c>
      <c r="B193" s="118" t="s">
        <v>360</v>
      </c>
      <c r="C193" s="122"/>
      <c r="D193" s="59" t="s">
        <v>109</v>
      </c>
      <c r="E193" s="43">
        <f>E194+E195</f>
        <v>440.8</v>
      </c>
      <c r="F193" s="43">
        <f t="shared" ref="F193" si="89">F194+F195</f>
        <v>440.8</v>
      </c>
      <c r="G193" s="43">
        <f t="shared" ref="G193" si="90">G194+G195</f>
        <v>0</v>
      </c>
      <c r="H193" s="43">
        <f t="shared" ref="H193:J193" si="91">H194+H195</f>
        <v>0</v>
      </c>
      <c r="I193" s="43">
        <f t="shared" si="91"/>
        <v>0</v>
      </c>
      <c r="J193" s="43">
        <f t="shared" si="91"/>
        <v>0</v>
      </c>
    </row>
    <row r="194" spans="1:10" ht="14.25" customHeight="1" x14ac:dyDescent="0.2">
      <c r="A194" s="116"/>
      <c r="B194" s="119"/>
      <c r="C194" s="122"/>
      <c r="D194" s="59" t="s">
        <v>11</v>
      </c>
      <c r="E194" s="43">
        <f>SUM(F194:J194)</f>
        <v>440.8</v>
      </c>
      <c r="F194" s="43">
        <v>440.8</v>
      </c>
      <c r="G194" s="43">
        <v>0</v>
      </c>
      <c r="H194" s="43">
        <v>0</v>
      </c>
      <c r="I194" s="43">
        <v>0</v>
      </c>
      <c r="J194" s="43">
        <v>0</v>
      </c>
    </row>
    <row r="195" spans="1:10" ht="14.25" customHeight="1" x14ac:dyDescent="0.2">
      <c r="A195" s="117"/>
      <c r="B195" s="120"/>
      <c r="C195" s="122"/>
      <c r="D195" s="59" t="s">
        <v>10</v>
      </c>
      <c r="E195" s="43">
        <f>SUM(F195:J195)</f>
        <v>0</v>
      </c>
      <c r="F195" s="43">
        <v>0</v>
      </c>
      <c r="G195" s="43">
        <v>0</v>
      </c>
      <c r="H195" s="43">
        <v>0</v>
      </c>
      <c r="I195" s="43">
        <v>0</v>
      </c>
      <c r="J195" s="43">
        <v>0</v>
      </c>
    </row>
    <row r="196" spans="1:10" ht="14.25" customHeight="1" x14ac:dyDescent="0.2">
      <c r="A196" s="115" t="s">
        <v>382</v>
      </c>
      <c r="B196" s="118" t="s">
        <v>367</v>
      </c>
      <c r="C196" s="122"/>
      <c r="D196" s="59" t="s">
        <v>109</v>
      </c>
      <c r="E196" s="43">
        <f>E197+E198</f>
        <v>0</v>
      </c>
      <c r="F196" s="43">
        <f t="shared" ref="F196" si="92">F197+F198</f>
        <v>0</v>
      </c>
      <c r="G196" s="43">
        <f t="shared" ref="G196" si="93">G197+G198</f>
        <v>0</v>
      </c>
      <c r="H196" s="43">
        <f t="shared" ref="H196:J196" si="94">H197+H198</f>
        <v>0</v>
      </c>
      <c r="I196" s="43">
        <f t="shared" si="94"/>
        <v>0</v>
      </c>
      <c r="J196" s="43">
        <f t="shared" si="94"/>
        <v>0</v>
      </c>
    </row>
    <row r="197" spans="1:10" ht="14.25" customHeight="1" x14ac:dyDescent="0.2">
      <c r="A197" s="116"/>
      <c r="B197" s="119"/>
      <c r="C197" s="122"/>
      <c r="D197" s="59" t="s">
        <v>11</v>
      </c>
      <c r="E197" s="43">
        <f>SUM(F197:J197)</f>
        <v>0</v>
      </c>
      <c r="F197" s="43">
        <v>0</v>
      </c>
      <c r="G197" s="43">
        <v>0</v>
      </c>
      <c r="H197" s="43">
        <v>0</v>
      </c>
      <c r="I197" s="43">
        <v>0</v>
      </c>
      <c r="J197" s="43">
        <v>0</v>
      </c>
    </row>
    <row r="198" spans="1:10" ht="14.25" customHeight="1" x14ac:dyDescent="0.2">
      <c r="A198" s="117"/>
      <c r="B198" s="120"/>
      <c r="C198" s="122"/>
      <c r="D198" s="59" t="s">
        <v>10</v>
      </c>
      <c r="E198" s="43">
        <f>SUM(F198:J198)</f>
        <v>0</v>
      </c>
      <c r="F198" s="43">
        <v>0</v>
      </c>
      <c r="G198" s="43">
        <v>0</v>
      </c>
      <c r="H198" s="43">
        <v>0</v>
      </c>
      <c r="I198" s="43">
        <v>0</v>
      </c>
      <c r="J198" s="43">
        <v>0</v>
      </c>
    </row>
    <row r="199" spans="1:10" ht="14.25" customHeight="1" x14ac:dyDescent="0.2">
      <c r="A199" s="115" t="s">
        <v>383</v>
      </c>
      <c r="B199" s="118" t="s">
        <v>366</v>
      </c>
      <c r="C199" s="122"/>
      <c r="D199" s="59" t="s">
        <v>109</v>
      </c>
      <c r="E199" s="43">
        <f>E200+E201</f>
        <v>0</v>
      </c>
      <c r="F199" s="43">
        <f t="shared" ref="F199" si="95">F200+F201</f>
        <v>0</v>
      </c>
      <c r="G199" s="43">
        <f t="shared" ref="G199" si="96">G200+G201</f>
        <v>0</v>
      </c>
      <c r="H199" s="43">
        <f t="shared" ref="H199:J199" si="97">H200+H201</f>
        <v>0</v>
      </c>
      <c r="I199" s="43">
        <f t="shared" si="97"/>
        <v>0</v>
      </c>
      <c r="J199" s="43">
        <f t="shared" si="97"/>
        <v>0</v>
      </c>
    </row>
    <row r="200" spans="1:10" ht="14.25" customHeight="1" x14ac:dyDescent="0.2">
      <c r="A200" s="116"/>
      <c r="B200" s="119"/>
      <c r="C200" s="122"/>
      <c r="D200" s="59" t="s">
        <v>11</v>
      </c>
      <c r="E200" s="43">
        <f>SUM(F200:J200)</f>
        <v>0</v>
      </c>
      <c r="F200" s="43">
        <v>0</v>
      </c>
      <c r="G200" s="43">
        <v>0</v>
      </c>
      <c r="H200" s="43">
        <v>0</v>
      </c>
      <c r="I200" s="43">
        <v>0</v>
      </c>
      <c r="J200" s="43">
        <v>0</v>
      </c>
    </row>
    <row r="201" spans="1:10" ht="14.25" customHeight="1" x14ac:dyDescent="0.2">
      <c r="A201" s="117"/>
      <c r="B201" s="120"/>
      <c r="C201" s="122"/>
      <c r="D201" s="59" t="s">
        <v>10</v>
      </c>
      <c r="E201" s="43">
        <f>SUM(F201:J201)</f>
        <v>0</v>
      </c>
      <c r="F201" s="43">
        <v>0</v>
      </c>
      <c r="G201" s="43">
        <v>0</v>
      </c>
      <c r="H201" s="43">
        <v>0</v>
      </c>
      <c r="I201" s="43">
        <v>0</v>
      </c>
      <c r="J201" s="43">
        <v>0</v>
      </c>
    </row>
    <row r="202" spans="1:10" ht="14.25" customHeight="1" x14ac:dyDescent="0.2">
      <c r="A202" s="115" t="s">
        <v>384</v>
      </c>
      <c r="B202" s="118" t="s">
        <v>66</v>
      </c>
      <c r="C202" s="122"/>
      <c r="D202" s="59" t="s">
        <v>109</v>
      </c>
      <c r="E202" s="43">
        <f>SUM(F203:J203)</f>
        <v>92.5</v>
      </c>
      <c r="F202" s="43">
        <f t="shared" ref="F202" si="98">F203+F204</f>
        <v>92.5</v>
      </c>
      <c r="G202" s="43">
        <f t="shared" ref="G202" si="99">G203+G204</f>
        <v>0</v>
      </c>
      <c r="H202" s="43">
        <f t="shared" ref="H202:J202" si="100">H203+H204</f>
        <v>0</v>
      </c>
      <c r="I202" s="43">
        <f t="shared" si="100"/>
        <v>0</v>
      </c>
      <c r="J202" s="43">
        <f t="shared" si="100"/>
        <v>0</v>
      </c>
    </row>
    <row r="203" spans="1:10" ht="14.25" customHeight="1" x14ac:dyDescent="0.2">
      <c r="A203" s="116"/>
      <c r="B203" s="119"/>
      <c r="C203" s="122"/>
      <c r="D203" s="59" t="s">
        <v>11</v>
      </c>
      <c r="E203" s="43">
        <f t="shared" ref="E203:E204" si="101">F203+G203+H203</f>
        <v>92.5</v>
      </c>
      <c r="F203" s="43">
        <v>92.5</v>
      </c>
      <c r="G203" s="43">
        <v>0</v>
      </c>
      <c r="H203" s="43">
        <v>0</v>
      </c>
      <c r="I203" s="43">
        <v>0</v>
      </c>
      <c r="J203" s="43">
        <v>0</v>
      </c>
    </row>
    <row r="204" spans="1:10" ht="14.25" customHeight="1" x14ac:dyDescent="0.2">
      <c r="A204" s="117"/>
      <c r="B204" s="120"/>
      <c r="C204" s="123"/>
      <c r="D204" s="59" t="s">
        <v>10</v>
      </c>
      <c r="E204" s="43">
        <f t="shared" si="101"/>
        <v>0</v>
      </c>
      <c r="F204" s="43">
        <v>0</v>
      </c>
      <c r="G204" s="43">
        <v>0</v>
      </c>
      <c r="H204" s="43">
        <v>0</v>
      </c>
      <c r="I204" s="43">
        <v>0</v>
      </c>
      <c r="J204" s="43">
        <v>0</v>
      </c>
    </row>
    <row r="205" spans="1:10" ht="14.25" customHeight="1" x14ac:dyDescent="0.2">
      <c r="A205" s="115" t="s">
        <v>371</v>
      </c>
      <c r="B205" s="118" t="s">
        <v>372</v>
      </c>
      <c r="C205" s="121" t="s">
        <v>375</v>
      </c>
      <c r="D205" s="59" t="s">
        <v>109</v>
      </c>
      <c r="E205" s="43">
        <f>E206+E207</f>
        <v>92.5</v>
      </c>
      <c r="F205" s="43">
        <f t="shared" ref="F205" si="102">F206+F207</f>
        <v>92.5</v>
      </c>
      <c r="G205" s="43">
        <f t="shared" ref="G205" si="103">G206+G207</f>
        <v>0</v>
      </c>
      <c r="H205" s="43">
        <f t="shared" ref="H205:J205" si="104">H206+H207</f>
        <v>0</v>
      </c>
      <c r="I205" s="43">
        <f t="shared" si="104"/>
        <v>0</v>
      </c>
      <c r="J205" s="43">
        <f t="shared" si="104"/>
        <v>0</v>
      </c>
    </row>
    <row r="206" spans="1:10" ht="14.25" customHeight="1" x14ac:dyDescent="0.2">
      <c r="A206" s="116"/>
      <c r="B206" s="119"/>
      <c r="C206" s="122"/>
      <c r="D206" s="59" t="s">
        <v>11</v>
      </c>
      <c r="E206" s="43">
        <f>SUM(F206:J206)</f>
        <v>92.5</v>
      </c>
      <c r="F206" s="43">
        <f t="shared" ref="F206:G206" si="105">F209+F212+F215+F218</f>
        <v>92.5</v>
      </c>
      <c r="G206" s="43">
        <f t="shared" si="105"/>
        <v>0</v>
      </c>
      <c r="H206" s="43">
        <v>0</v>
      </c>
      <c r="I206" s="43">
        <v>0</v>
      </c>
      <c r="J206" s="43">
        <v>0</v>
      </c>
    </row>
    <row r="207" spans="1:10" ht="14.25" customHeight="1" x14ac:dyDescent="0.2">
      <c r="A207" s="117"/>
      <c r="B207" s="120"/>
      <c r="C207" s="122"/>
      <c r="D207" s="59" t="s">
        <v>10</v>
      </c>
      <c r="E207" s="43">
        <f>SUM(F207:J207)</f>
        <v>0</v>
      </c>
      <c r="F207" s="43">
        <f t="shared" ref="F207:H207" si="106">F210+F213+F216+F219</f>
        <v>0</v>
      </c>
      <c r="G207" s="43">
        <f t="shared" si="106"/>
        <v>0</v>
      </c>
      <c r="H207" s="43">
        <f t="shared" si="106"/>
        <v>0</v>
      </c>
      <c r="I207" s="43">
        <f t="shared" ref="I207:J207" si="107">I210+I213+I216+I219</f>
        <v>0</v>
      </c>
      <c r="J207" s="43">
        <f t="shared" si="107"/>
        <v>0</v>
      </c>
    </row>
    <row r="208" spans="1:10" ht="14.25" customHeight="1" x14ac:dyDescent="0.2">
      <c r="A208" s="115" t="s">
        <v>385</v>
      </c>
      <c r="B208" s="118" t="s">
        <v>360</v>
      </c>
      <c r="C208" s="122"/>
      <c r="D208" s="59" t="s">
        <v>109</v>
      </c>
      <c r="E208" s="43">
        <f>E209+E210</f>
        <v>0</v>
      </c>
      <c r="F208" s="43">
        <f t="shared" ref="F208" si="108">F209+F210</f>
        <v>0</v>
      </c>
      <c r="G208" s="43">
        <f t="shared" ref="G208" si="109">G209+G210</f>
        <v>0</v>
      </c>
      <c r="H208" s="43">
        <f t="shared" ref="H208:J208" si="110">H209+H210</f>
        <v>0</v>
      </c>
      <c r="I208" s="43">
        <f t="shared" si="110"/>
        <v>0</v>
      </c>
      <c r="J208" s="43">
        <f t="shared" si="110"/>
        <v>0</v>
      </c>
    </row>
    <row r="209" spans="1:10" ht="14.25" customHeight="1" x14ac:dyDescent="0.2">
      <c r="A209" s="116"/>
      <c r="B209" s="119"/>
      <c r="C209" s="122"/>
      <c r="D209" s="59" t="s">
        <v>11</v>
      </c>
      <c r="E209" s="43">
        <f>SUM(F209:J209)</f>
        <v>0</v>
      </c>
      <c r="F209" s="43">
        <f t="shared" ref="F209" si="111">G209+H209+I209</f>
        <v>0</v>
      </c>
      <c r="G209" s="43">
        <v>0</v>
      </c>
      <c r="H209" s="43">
        <v>0</v>
      </c>
      <c r="I209" s="43">
        <v>0</v>
      </c>
      <c r="J209" s="43">
        <v>0</v>
      </c>
    </row>
    <row r="210" spans="1:10" ht="14.25" customHeight="1" x14ac:dyDescent="0.2">
      <c r="A210" s="117"/>
      <c r="B210" s="120"/>
      <c r="C210" s="122"/>
      <c r="D210" s="59" t="s">
        <v>10</v>
      </c>
      <c r="E210" s="43">
        <f>SUM(F210:J210)</f>
        <v>0</v>
      </c>
      <c r="F210" s="43">
        <v>0</v>
      </c>
      <c r="G210" s="43">
        <v>0</v>
      </c>
      <c r="H210" s="43">
        <v>0</v>
      </c>
      <c r="I210" s="43">
        <v>0</v>
      </c>
      <c r="J210" s="43">
        <v>0</v>
      </c>
    </row>
    <row r="211" spans="1:10" ht="14.25" customHeight="1" x14ac:dyDescent="0.2">
      <c r="A211" s="115" t="s">
        <v>386</v>
      </c>
      <c r="B211" s="118" t="s">
        <v>367</v>
      </c>
      <c r="C211" s="122"/>
      <c r="D211" s="59" t="s">
        <v>109</v>
      </c>
      <c r="E211" s="43">
        <f>E212+E213</f>
        <v>0</v>
      </c>
      <c r="F211" s="43">
        <f t="shared" ref="F211" si="112">F212+F213</f>
        <v>0</v>
      </c>
      <c r="G211" s="43">
        <f t="shared" ref="G211" si="113">G212+G213</f>
        <v>0</v>
      </c>
      <c r="H211" s="43">
        <f t="shared" ref="H211:J211" si="114">H212+H213</f>
        <v>0</v>
      </c>
      <c r="I211" s="43">
        <f t="shared" si="114"/>
        <v>0</v>
      </c>
      <c r="J211" s="43">
        <f t="shared" si="114"/>
        <v>0</v>
      </c>
    </row>
    <row r="212" spans="1:10" ht="14.25" customHeight="1" x14ac:dyDescent="0.2">
      <c r="A212" s="116"/>
      <c r="B212" s="119"/>
      <c r="C212" s="122"/>
      <c r="D212" s="59" t="s">
        <v>11</v>
      </c>
      <c r="E212" s="43">
        <f>SUM(F212:J212)</f>
        <v>0</v>
      </c>
      <c r="F212" s="43">
        <v>0</v>
      </c>
      <c r="G212" s="43">
        <v>0</v>
      </c>
      <c r="H212" s="43">
        <v>0</v>
      </c>
      <c r="I212" s="43">
        <v>0</v>
      </c>
      <c r="J212" s="43">
        <v>0</v>
      </c>
    </row>
    <row r="213" spans="1:10" ht="14.25" customHeight="1" x14ac:dyDescent="0.2">
      <c r="A213" s="117"/>
      <c r="B213" s="120"/>
      <c r="C213" s="122"/>
      <c r="D213" s="59" t="s">
        <v>10</v>
      </c>
      <c r="E213" s="43">
        <f>SUM(F213:J213)</f>
        <v>0</v>
      </c>
      <c r="F213" s="43">
        <v>0</v>
      </c>
      <c r="G213" s="43">
        <v>0</v>
      </c>
      <c r="H213" s="43">
        <v>0</v>
      </c>
      <c r="I213" s="43">
        <v>0</v>
      </c>
      <c r="J213" s="43">
        <v>0</v>
      </c>
    </row>
    <row r="214" spans="1:10" ht="14.25" customHeight="1" x14ac:dyDescent="0.2">
      <c r="A214" s="115" t="s">
        <v>387</v>
      </c>
      <c r="B214" s="118" t="s">
        <v>366</v>
      </c>
      <c r="C214" s="122"/>
      <c r="D214" s="59" t="s">
        <v>109</v>
      </c>
      <c r="E214" s="43">
        <f>E215+E216</f>
        <v>0</v>
      </c>
      <c r="F214" s="43">
        <f t="shared" ref="F214" si="115">F215+F216</f>
        <v>0</v>
      </c>
      <c r="G214" s="43">
        <f t="shared" ref="G214" si="116">G215+G216</f>
        <v>0</v>
      </c>
      <c r="H214" s="43">
        <f t="shared" ref="H214:J214" si="117">H215+H216</f>
        <v>0</v>
      </c>
      <c r="I214" s="43">
        <f t="shared" si="117"/>
        <v>0</v>
      </c>
      <c r="J214" s="43">
        <f t="shared" si="117"/>
        <v>0</v>
      </c>
    </row>
    <row r="215" spans="1:10" ht="14.25" customHeight="1" x14ac:dyDescent="0.2">
      <c r="A215" s="116"/>
      <c r="B215" s="119"/>
      <c r="C215" s="122"/>
      <c r="D215" s="59" t="s">
        <v>11</v>
      </c>
      <c r="E215" s="43">
        <f>SUM(F215:J215)</f>
        <v>0</v>
      </c>
      <c r="F215" s="43">
        <v>0</v>
      </c>
      <c r="G215" s="43">
        <v>0</v>
      </c>
      <c r="H215" s="43">
        <v>0</v>
      </c>
      <c r="I215" s="43">
        <v>0</v>
      </c>
      <c r="J215" s="43">
        <v>0</v>
      </c>
    </row>
    <row r="216" spans="1:10" ht="14.25" customHeight="1" x14ac:dyDescent="0.2">
      <c r="A216" s="117"/>
      <c r="B216" s="120"/>
      <c r="C216" s="122"/>
      <c r="D216" s="59" t="s">
        <v>10</v>
      </c>
      <c r="E216" s="43">
        <f>SUM(F216:J216)</f>
        <v>0</v>
      </c>
      <c r="F216" s="43">
        <v>0</v>
      </c>
      <c r="G216" s="43">
        <v>0</v>
      </c>
      <c r="H216" s="43">
        <v>0</v>
      </c>
      <c r="I216" s="43">
        <v>0</v>
      </c>
      <c r="J216" s="43">
        <v>0</v>
      </c>
    </row>
    <row r="217" spans="1:10" ht="14.25" customHeight="1" x14ac:dyDescent="0.2">
      <c r="A217" s="115" t="s">
        <v>408</v>
      </c>
      <c r="B217" s="118" t="s">
        <v>66</v>
      </c>
      <c r="C217" s="122"/>
      <c r="D217" s="59" t="s">
        <v>109</v>
      </c>
      <c r="E217" s="43">
        <f>E218+E219</f>
        <v>92.5</v>
      </c>
      <c r="F217" s="43">
        <f t="shared" ref="F217" si="118">F218+F219</f>
        <v>92.5</v>
      </c>
      <c r="G217" s="43">
        <f t="shared" ref="G217" si="119">G218+G219</f>
        <v>0</v>
      </c>
      <c r="H217" s="43">
        <f t="shared" ref="H217:J217" si="120">H218+H219</f>
        <v>0</v>
      </c>
      <c r="I217" s="43">
        <f t="shared" si="120"/>
        <v>0</v>
      </c>
      <c r="J217" s="43">
        <f t="shared" si="120"/>
        <v>0</v>
      </c>
    </row>
    <row r="218" spans="1:10" ht="18.75" customHeight="1" x14ac:dyDescent="0.2">
      <c r="A218" s="116"/>
      <c r="B218" s="119"/>
      <c r="C218" s="122"/>
      <c r="D218" s="59" t="s">
        <v>11</v>
      </c>
      <c r="E218" s="43">
        <f>SUM(F218:J218)</f>
        <v>92.5</v>
      </c>
      <c r="F218" s="43">
        <v>92.5</v>
      </c>
      <c r="G218" s="43">
        <v>0</v>
      </c>
      <c r="H218" s="43">
        <v>0</v>
      </c>
      <c r="I218" s="43">
        <v>0</v>
      </c>
      <c r="J218" s="43">
        <v>0</v>
      </c>
    </row>
    <row r="219" spans="1:10" ht="18" customHeight="1" x14ac:dyDescent="0.2">
      <c r="A219" s="117"/>
      <c r="B219" s="120"/>
      <c r="C219" s="123"/>
      <c r="D219" s="59" t="s">
        <v>10</v>
      </c>
      <c r="E219" s="43">
        <f>SUM(F219:J219)</f>
        <v>0</v>
      </c>
      <c r="F219" s="43">
        <v>0</v>
      </c>
      <c r="G219" s="43">
        <v>0</v>
      </c>
      <c r="H219" s="43">
        <v>0</v>
      </c>
      <c r="I219" s="43">
        <v>0</v>
      </c>
      <c r="J219" s="43">
        <v>0</v>
      </c>
    </row>
    <row r="220" spans="1:10" ht="14.25" customHeight="1" x14ac:dyDescent="0.2">
      <c r="A220" s="115" t="s">
        <v>378</v>
      </c>
      <c r="B220" s="118" t="s">
        <v>373</v>
      </c>
      <c r="C220" s="121" t="s">
        <v>376</v>
      </c>
      <c r="D220" s="59" t="s">
        <v>109</v>
      </c>
      <c r="E220" s="43">
        <f>E221+E222+E223</f>
        <v>7470.7000000000007</v>
      </c>
      <c r="F220" s="43">
        <f>F221+F223+F222</f>
        <v>1134.7</v>
      </c>
      <c r="G220" s="43">
        <f t="shared" ref="G220:H220" si="121">G221+G223+G222</f>
        <v>6336</v>
      </c>
      <c r="H220" s="43">
        <f t="shared" si="121"/>
        <v>0</v>
      </c>
      <c r="I220" s="43">
        <f t="shared" ref="I220:J220" si="122">I221+I223+I222</f>
        <v>0</v>
      </c>
      <c r="J220" s="43">
        <f t="shared" si="122"/>
        <v>0</v>
      </c>
    </row>
    <row r="221" spans="1:10" ht="17.25" customHeight="1" x14ac:dyDescent="0.2">
      <c r="A221" s="116"/>
      <c r="B221" s="119"/>
      <c r="C221" s="122"/>
      <c r="D221" s="59" t="s">
        <v>11</v>
      </c>
      <c r="E221" s="43">
        <f>SUM(F221:J221)</f>
        <v>166.4</v>
      </c>
      <c r="F221" s="43">
        <f t="shared" ref="F221:G221" si="123">F225+F228+F231+F234</f>
        <v>103</v>
      </c>
      <c r="G221" s="43">
        <f t="shared" si="123"/>
        <v>63.4</v>
      </c>
      <c r="H221" s="43">
        <v>0</v>
      </c>
      <c r="I221" s="43">
        <v>0</v>
      </c>
      <c r="J221" s="43">
        <v>0</v>
      </c>
    </row>
    <row r="222" spans="1:10" ht="17.25" customHeight="1" x14ac:dyDescent="0.2">
      <c r="A222" s="116"/>
      <c r="B222" s="119"/>
      <c r="C222" s="122"/>
      <c r="D222" s="59" t="s">
        <v>10</v>
      </c>
      <c r="E222" s="43">
        <f t="shared" ref="E222:E223" si="124">SUM(F222:J222)</f>
        <v>2994.8</v>
      </c>
      <c r="F222" s="43">
        <f>F235</f>
        <v>423</v>
      </c>
      <c r="G222" s="43">
        <f>G225+G228+G231+G235</f>
        <v>2571.8000000000002</v>
      </c>
      <c r="H222" s="43">
        <f>H225+H228+H231+H235</f>
        <v>0</v>
      </c>
      <c r="I222" s="43">
        <f t="shared" ref="I222:J222" si="125">I225+I228+I231+I235</f>
        <v>0</v>
      </c>
      <c r="J222" s="43">
        <f t="shared" si="125"/>
        <v>0</v>
      </c>
    </row>
    <row r="223" spans="1:10" ht="14.25" customHeight="1" x14ac:dyDescent="0.2">
      <c r="A223" s="117"/>
      <c r="B223" s="120"/>
      <c r="C223" s="122"/>
      <c r="D223" s="59" t="s">
        <v>12</v>
      </c>
      <c r="E223" s="43">
        <f t="shared" si="124"/>
        <v>4309.5</v>
      </c>
      <c r="F223" s="43">
        <f>F236</f>
        <v>608.70000000000005</v>
      </c>
      <c r="G223" s="43">
        <f>G226+G229+G232+G236</f>
        <v>3700.8</v>
      </c>
      <c r="H223" s="43">
        <f>H226+H229+H232+H236</f>
        <v>0</v>
      </c>
      <c r="I223" s="43">
        <f t="shared" ref="I223:J223" si="126">I226+I229+I232+I236</f>
        <v>0</v>
      </c>
      <c r="J223" s="43">
        <f t="shared" si="126"/>
        <v>0</v>
      </c>
    </row>
    <row r="224" spans="1:10" ht="14.25" customHeight="1" x14ac:dyDescent="0.2">
      <c r="A224" s="115" t="s">
        <v>388</v>
      </c>
      <c r="B224" s="118" t="s">
        <v>360</v>
      </c>
      <c r="C224" s="122"/>
      <c r="D224" s="59" t="s">
        <v>109</v>
      </c>
      <c r="E224" s="43">
        <f t="shared" ref="E224:E232" si="127">F224+G224+H224</f>
        <v>0</v>
      </c>
      <c r="F224" s="43">
        <f t="shared" ref="F224" si="128">F225+F226</f>
        <v>0</v>
      </c>
      <c r="G224" s="43">
        <f t="shared" ref="G224" si="129">G225+G226</f>
        <v>0</v>
      </c>
      <c r="H224" s="43">
        <f t="shared" ref="H224:J224" si="130">H225+H226</f>
        <v>0</v>
      </c>
      <c r="I224" s="43">
        <f t="shared" si="130"/>
        <v>0</v>
      </c>
      <c r="J224" s="43">
        <f t="shared" si="130"/>
        <v>0</v>
      </c>
    </row>
    <row r="225" spans="1:10" ht="14.25" customHeight="1" x14ac:dyDescent="0.2">
      <c r="A225" s="116"/>
      <c r="B225" s="119"/>
      <c r="C225" s="122"/>
      <c r="D225" s="59" t="s">
        <v>11</v>
      </c>
      <c r="E225" s="43">
        <f t="shared" si="127"/>
        <v>0</v>
      </c>
      <c r="F225" s="43">
        <v>0</v>
      </c>
      <c r="G225" s="43">
        <v>0</v>
      </c>
      <c r="H225" s="43">
        <v>0</v>
      </c>
      <c r="I225" s="43">
        <v>0</v>
      </c>
      <c r="J225" s="43">
        <v>0</v>
      </c>
    </row>
    <row r="226" spans="1:10" ht="14.25" customHeight="1" x14ac:dyDescent="0.2">
      <c r="A226" s="117"/>
      <c r="B226" s="120"/>
      <c r="C226" s="122"/>
      <c r="D226" s="59" t="s">
        <v>10</v>
      </c>
      <c r="E226" s="43">
        <f t="shared" si="127"/>
        <v>0</v>
      </c>
      <c r="F226" s="43">
        <v>0</v>
      </c>
      <c r="G226" s="43">
        <v>0</v>
      </c>
      <c r="H226" s="43">
        <v>0</v>
      </c>
      <c r="I226" s="43">
        <v>0</v>
      </c>
      <c r="J226" s="43">
        <v>0</v>
      </c>
    </row>
    <row r="227" spans="1:10" ht="14.25" customHeight="1" x14ac:dyDescent="0.2">
      <c r="A227" s="115" t="s">
        <v>389</v>
      </c>
      <c r="B227" s="118" t="s">
        <v>367</v>
      </c>
      <c r="C227" s="122"/>
      <c r="D227" s="59" t="s">
        <v>109</v>
      </c>
      <c r="E227" s="43">
        <f t="shared" si="127"/>
        <v>0</v>
      </c>
      <c r="F227" s="43">
        <f t="shared" ref="F227" si="131">F228+F229</f>
        <v>0</v>
      </c>
      <c r="G227" s="43">
        <f t="shared" ref="G227" si="132">G228+G229</f>
        <v>0</v>
      </c>
      <c r="H227" s="43">
        <f t="shared" ref="H227:J227" si="133">H228+H229</f>
        <v>0</v>
      </c>
      <c r="I227" s="43">
        <f t="shared" si="133"/>
        <v>0</v>
      </c>
      <c r="J227" s="43">
        <f t="shared" si="133"/>
        <v>0</v>
      </c>
    </row>
    <row r="228" spans="1:10" ht="14.25" customHeight="1" x14ac:dyDescent="0.2">
      <c r="A228" s="116"/>
      <c r="B228" s="119"/>
      <c r="C228" s="122"/>
      <c r="D228" s="59" t="s">
        <v>11</v>
      </c>
      <c r="E228" s="43">
        <f t="shared" si="127"/>
        <v>0</v>
      </c>
      <c r="F228" s="43">
        <v>0</v>
      </c>
      <c r="G228" s="43">
        <v>0</v>
      </c>
      <c r="H228" s="43">
        <v>0</v>
      </c>
      <c r="I228" s="43">
        <v>0</v>
      </c>
      <c r="J228" s="43">
        <v>0</v>
      </c>
    </row>
    <row r="229" spans="1:10" ht="14.25" customHeight="1" x14ac:dyDescent="0.2">
      <c r="A229" s="117"/>
      <c r="B229" s="120"/>
      <c r="C229" s="122"/>
      <c r="D229" s="59" t="s">
        <v>10</v>
      </c>
      <c r="E229" s="43">
        <f t="shared" si="127"/>
        <v>0</v>
      </c>
      <c r="F229" s="43">
        <v>0</v>
      </c>
      <c r="G229" s="43">
        <v>0</v>
      </c>
      <c r="H229" s="43">
        <v>0</v>
      </c>
      <c r="I229" s="43">
        <v>0</v>
      </c>
      <c r="J229" s="43">
        <v>0</v>
      </c>
    </row>
    <row r="230" spans="1:10" ht="14.25" customHeight="1" x14ac:dyDescent="0.2">
      <c r="A230" s="115" t="s">
        <v>390</v>
      </c>
      <c r="B230" s="118" t="s">
        <v>366</v>
      </c>
      <c r="C230" s="122"/>
      <c r="D230" s="59" t="s">
        <v>109</v>
      </c>
      <c r="E230" s="43">
        <f t="shared" si="127"/>
        <v>0</v>
      </c>
      <c r="F230" s="43">
        <f t="shared" ref="F230" si="134">F231+F232</f>
        <v>0</v>
      </c>
      <c r="G230" s="43">
        <f t="shared" ref="G230" si="135">G231+G232</f>
        <v>0</v>
      </c>
      <c r="H230" s="43">
        <f t="shared" ref="H230:J230" si="136">H231+H232</f>
        <v>0</v>
      </c>
      <c r="I230" s="43">
        <f t="shared" si="136"/>
        <v>0</v>
      </c>
      <c r="J230" s="43">
        <f t="shared" si="136"/>
        <v>0</v>
      </c>
    </row>
    <row r="231" spans="1:10" ht="14.25" customHeight="1" x14ac:dyDescent="0.2">
      <c r="A231" s="116"/>
      <c r="B231" s="119"/>
      <c r="C231" s="122"/>
      <c r="D231" s="59" t="s">
        <v>11</v>
      </c>
      <c r="E231" s="43">
        <f t="shared" si="127"/>
        <v>0</v>
      </c>
      <c r="F231" s="43">
        <v>0</v>
      </c>
      <c r="G231" s="43">
        <v>0</v>
      </c>
      <c r="H231" s="43">
        <v>0</v>
      </c>
      <c r="I231" s="43">
        <v>0</v>
      </c>
      <c r="J231" s="43">
        <v>0</v>
      </c>
    </row>
    <row r="232" spans="1:10" ht="14.25" customHeight="1" x14ac:dyDescent="0.2">
      <c r="A232" s="117"/>
      <c r="B232" s="120"/>
      <c r="C232" s="122"/>
      <c r="D232" s="59" t="s">
        <v>10</v>
      </c>
      <c r="E232" s="43">
        <f t="shared" si="127"/>
        <v>0</v>
      </c>
      <c r="F232" s="43">
        <v>0</v>
      </c>
      <c r="G232" s="43">
        <v>0</v>
      </c>
      <c r="H232" s="43">
        <v>0</v>
      </c>
      <c r="I232" s="43">
        <v>0</v>
      </c>
      <c r="J232" s="43">
        <v>0</v>
      </c>
    </row>
    <row r="233" spans="1:10" ht="14.25" customHeight="1" x14ac:dyDescent="0.2">
      <c r="A233" s="115" t="s">
        <v>391</v>
      </c>
      <c r="B233" s="118" t="s">
        <v>66</v>
      </c>
      <c r="C233" s="122"/>
      <c r="D233" s="59" t="s">
        <v>109</v>
      </c>
      <c r="E233" s="43">
        <f>E234+E235+E236</f>
        <v>7470.7000000000007</v>
      </c>
      <c r="F233" s="43">
        <f>F234+F236+F235</f>
        <v>1134.7</v>
      </c>
      <c r="G233" s="43">
        <f t="shared" ref="G233:H233" si="137">G234+G236+G235</f>
        <v>6336</v>
      </c>
      <c r="H233" s="43">
        <f t="shared" si="137"/>
        <v>0</v>
      </c>
      <c r="I233" s="43">
        <f t="shared" ref="I233:J233" si="138">I234+I236+I235</f>
        <v>0</v>
      </c>
      <c r="J233" s="43">
        <f t="shared" si="138"/>
        <v>0</v>
      </c>
    </row>
    <row r="234" spans="1:10" ht="14.25" customHeight="1" x14ac:dyDescent="0.2">
      <c r="A234" s="116"/>
      <c r="B234" s="119"/>
      <c r="C234" s="122"/>
      <c r="D234" s="59" t="s">
        <v>11</v>
      </c>
      <c r="E234" s="43">
        <f>SUM(F234:J234)</f>
        <v>166.4</v>
      </c>
      <c r="F234" s="43">
        <f>92.5+10.5</f>
        <v>103</v>
      </c>
      <c r="G234" s="43">
        <v>63.4</v>
      </c>
      <c r="H234" s="43">
        <v>0</v>
      </c>
      <c r="I234" s="43">
        <v>0</v>
      </c>
      <c r="J234" s="43">
        <v>0</v>
      </c>
    </row>
    <row r="235" spans="1:10" ht="14.25" customHeight="1" x14ac:dyDescent="0.2">
      <c r="A235" s="116"/>
      <c r="B235" s="119"/>
      <c r="C235" s="122"/>
      <c r="D235" s="59" t="s">
        <v>10</v>
      </c>
      <c r="E235" s="43">
        <f>SUM(F235:J235)</f>
        <v>2994.8</v>
      </c>
      <c r="F235" s="43">
        <v>423</v>
      </c>
      <c r="G235" s="43">
        <v>2571.8000000000002</v>
      </c>
      <c r="H235" s="43">
        <v>0</v>
      </c>
      <c r="I235" s="43">
        <v>0</v>
      </c>
      <c r="J235" s="43">
        <v>0</v>
      </c>
    </row>
    <row r="236" spans="1:10" ht="14.25" customHeight="1" x14ac:dyDescent="0.2">
      <c r="A236" s="117"/>
      <c r="B236" s="120"/>
      <c r="C236" s="123"/>
      <c r="D236" s="59" t="s">
        <v>12</v>
      </c>
      <c r="E236" s="43">
        <f>SUM(F236:J236)</f>
        <v>4309.5</v>
      </c>
      <c r="F236" s="43">
        <v>608.70000000000005</v>
      </c>
      <c r="G236" s="43">
        <v>3700.8</v>
      </c>
      <c r="H236" s="43">
        <v>0</v>
      </c>
      <c r="I236" s="43">
        <v>0</v>
      </c>
      <c r="J236" s="43">
        <v>0</v>
      </c>
    </row>
    <row r="237" spans="1:10" ht="14.25" customHeight="1" x14ac:dyDescent="0.2">
      <c r="A237" s="115" t="s">
        <v>379</v>
      </c>
      <c r="B237" s="118" t="s">
        <v>377</v>
      </c>
      <c r="C237" s="121" t="s">
        <v>296</v>
      </c>
      <c r="D237" s="59" t="s">
        <v>109</v>
      </c>
      <c r="E237" s="43">
        <f>E238+E239</f>
        <v>5814.0999999999995</v>
      </c>
      <c r="F237" s="43">
        <f t="shared" ref="F237" si="139">F238+F239</f>
        <v>5814.0999999999995</v>
      </c>
      <c r="G237" s="43">
        <f t="shared" ref="G237" si="140">G238+G239</f>
        <v>0</v>
      </c>
      <c r="H237" s="43">
        <f t="shared" ref="H237:J237" si="141">H238+H239</f>
        <v>0</v>
      </c>
      <c r="I237" s="43">
        <f t="shared" si="141"/>
        <v>0</v>
      </c>
      <c r="J237" s="43">
        <f t="shared" si="141"/>
        <v>0</v>
      </c>
    </row>
    <row r="238" spans="1:10" ht="14.25" customHeight="1" x14ac:dyDescent="0.2">
      <c r="A238" s="116"/>
      <c r="B238" s="119"/>
      <c r="C238" s="122"/>
      <c r="D238" s="59" t="s">
        <v>11</v>
      </c>
      <c r="E238" s="43">
        <f>SUM(F238:J238)</f>
        <v>5814.0999999999995</v>
      </c>
      <c r="F238" s="43">
        <f t="shared" ref="F238:G238" si="142">F241+F244+F247+F250</f>
        <v>5814.0999999999995</v>
      </c>
      <c r="G238" s="43">
        <f t="shared" si="142"/>
        <v>0</v>
      </c>
      <c r="H238" s="43">
        <v>0</v>
      </c>
      <c r="I238" s="43">
        <v>0</v>
      </c>
      <c r="J238" s="43">
        <v>0</v>
      </c>
    </row>
    <row r="239" spans="1:10" ht="14.25" customHeight="1" x14ac:dyDescent="0.2">
      <c r="A239" s="117"/>
      <c r="B239" s="120"/>
      <c r="C239" s="122"/>
      <c r="D239" s="59" t="s">
        <v>10</v>
      </c>
      <c r="E239" s="43">
        <f>SUM(F239:J239)</f>
        <v>0</v>
      </c>
      <c r="F239" s="43">
        <f t="shared" ref="F239:H239" si="143">F242+F245+F248+F251</f>
        <v>0</v>
      </c>
      <c r="G239" s="43">
        <f t="shared" si="143"/>
        <v>0</v>
      </c>
      <c r="H239" s="43">
        <f t="shared" si="143"/>
        <v>0</v>
      </c>
      <c r="I239" s="43">
        <f t="shared" ref="I239:J239" si="144">I242+I245+I248+I251</f>
        <v>0</v>
      </c>
      <c r="J239" s="43">
        <f t="shared" si="144"/>
        <v>0</v>
      </c>
    </row>
    <row r="240" spans="1:10" ht="14.25" customHeight="1" x14ac:dyDescent="0.2">
      <c r="A240" s="115" t="s">
        <v>392</v>
      </c>
      <c r="B240" s="118" t="s">
        <v>360</v>
      </c>
      <c r="C240" s="122"/>
      <c r="D240" s="59" t="s">
        <v>109</v>
      </c>
      <c r="E240" s="43">
        <f>E241+E242</f>
        <v>863.4</v>
      </c>
      <c r="F240" s="43">
        <f t="shared" ref="F240" si="145">F241+F242</f>
        <v>863.4</v>
      </c>
      <c r="G240" s="43">
        <f t="shared" ref="G240" si="146">G241+G242</f>
        <v>0</v>
      </c>
      <c r="H240" s="43">
        <f t="shared" ref="H240:J240" si="147">H241+H242</f>
        <v>0</v>
      </c>
      <c r="I240" s="43">
        <f t="shared" si="147"/>
        <v>0</v>
      </c>
      <c r="J240" s="43">
        <f t="shared" si="147"/>
        <v>0</v>
      </c>
    </row>
    <row r="241" spans="1:10" ht="14.25" customHeight="1" x14ac:dyDescent="0.2">
      <c r="A241" s="116"/>
      <c r="B241" s="119"/>
      <c r="C241" s="122"/>
      <c r="D241" s="59" t="s">
        <v>11</v>
      </c>
      <c r="E241" s="43">
        <f>SUM(F241:J241)</f>
        <v>863.4</v>
      </c>
      <c r="F241" s="43">
        <v>863.4</v>
      </c>
      <c r="G241" s="43">
        <v>0</v>
      </c>
      <c r="H241" s="43">
        <v>0</v>
      </c>
      <c r="I241" s="43">
        <v>0</v>
      </c>
      <c r="J241" s="43">
        <v>0</v>
      </c>
    </row>
    <row r="242" spans="1:10" ht="14.25" customHeight="1" x14ac:dyDescent="0.2">
      <c r="A242" s="117"/>
      <c r="B242" s="120"/>
      <c r="C242" s="122"/>
      <c r="D242" s="59" t="s">
        <v>10</v>
      </c>
      <c r="E242" s="43">
        <f>SUM(F242:J242)</f>
        <v>0</v>
      </c>
      <c r="F242" s="43">
        <v>0</v>
      </c>
      <c r="G242" s="43">
        <v>0</v>
      </c>
      <c r="H242" s="43">
        <v>0</v>
      </c>
      <c r="I242" s="43">
        <v>0</v>
      </c>
      <c r="J242" s="43">
        <v>0</v>
      </c>
    </row>
    <row r="243" spans="1:10" ht="14.25" customHeight="1" x14ac:dyDescent="0.2">
      <c r="A243" s="115" t="s">
        <v>393</v>
      </c>
      <c r="B243" s="118" t="s">
        <v>367</v>
      </c>
      <c r="C243" s="122"/>
      <c r="D243" s="59" t="s">
        <v>109</v>
      </c>
      <c r="E243" s="43">
        <f t="shared" ref="E243:E248" si="148">F243+G243+H243</f>
        <v>0</v>
      </c>
      <c r="F243" s="43">
        <f t="shared" ref="F243" si="149">F244+F245</f>
        <v>0</v>
      </c>
      <c r="G243" s="43">
        <f t="shared" ref="G243" si="150">G244+G245</f>
        <v>0</v>
      </c>
      <c r="H243" s="43">
        <f t="shared" ref="H243:J243" si="151">H244+H245</f>
        <v>0</v>
      </c>
      <c r="I243" s="43">
        <f t="shared" si="151"/>
        <v>0</v>
      </c>
      <c r="J243" s="43">
        <f t="shared" si="151"/>
        <v>0</v>
      </c>
    </row>
    <row r="244" spans="1:10" ht="14.25" customHeight="1" x14ac:dyDescent="0.2">
      <c r="A244" s="116"/>
      <c r="B244" s="119"/>
      <c r="C244" s="122"/>
      <c r="D244" s="59" t="s">
        <v>11</v>
      </c>
      <c r="E244" s="43">
        <f t="shared" si="148"/>
        <v>0</v>
      </c>
      <c r="F244" s="43">
        <v>0</v>
      </c>
      <c r="G244" s="43">
        <v>0</v>
      </c>
      <c r="H244" s="43">
        <v>0</v>
      </c>
      <c r="I244" s="43">
        <v>0</v>
      </c>
      <c r="J244" s="43">
        <v>0</v>
      </c>
    </row>
    <row r="245" spans="1:10" ht="14.25" customHeight="1" x14ac:dyDescent="0.2">
      <c r="A245" s="117"/>
      <c r="B245" s="120"/>
      <c r="C245" s="122"/>
      <c r="D245" s="59" t="s">
        <v>10</v>
      </c>
      <c r="E245" s="43">
        <f t="shared" si="148"/>
        <v>0</v>
      </c>
      <c r="F245" s="43">
        <v>0</v>
      </c>
      <c r="G245" s="43">
        <v>0</v>
      </c>
      <c r="H245" s="43">
        <v>0</v>
      </c>
      <c r="I245" s="43">
        <v>0</v>
      </c>
      <c r="J245" s="43">
        <v>0</v>
      </c>
    </row>
    <row r="246" spans="1:10" ht="14.25" customHeight="1" x14ac:dyDescent="0.2">
      <c r="A246" s="115" t="s">
        <v>394</v>
      </c>
      <c r="B246" s="118" t="s">
        <v>366</v>
      </c>
      <c r="C246" s="122"/>
      <c r="D246" s="59" t="s">
        <v>109</v>
      </c>
      <c r="E246" s="43">
        <f t="shared" si="148"/>
        <v>0</v>
      </c>
      <c r="F246" s="43">
        <f t="shared" ref="F246" si="152">F247+F248</f>
        <v>0</v>
      </c>
      <c r="G246" s="43">
        <f t="shared" ref="G246" si="153">G247+G248</f>
        <v>0</v>
      </c>
      <c r="H246" s="43">
        <f t="shared" ref="H246:J246" si="154">H247+H248</f>
        <v>0</v>
      </c>
      <c r="I246" s="43">
        <f t="shared" si="154"/>
        <v>0</v>
      </c>
      <c r="J246" s="43">
        <f t="shared" si="154"/>
        <v>0</v>
      </c>
    </row>
    <row r="247" spans="1:10" ht="14.25" customHeight="1" x14ac:dyDescent="0.2">
      <c r="A247" s="116"/>
      <c r="B247" s="119"/>
      <c r="C247" s="122"/>
      <c r="D247" s="59" t="s">
        <v>11</v>
      </c>
      <c r="E247" s="43">
        <f t="shared" si="148"/>
        <v>0</v>
      </c>
      <c r="F247" s="43">
        <v>0</v>
      </c>
      <c r="G247" s="43">
        <v>0</v>
      </c>
      <c r="H247" s="43">
        <v>0</v>
      </c>
      <c r="I247" s="43">
        <v>0</v>
      </c>
      <c r="J247" s="43">
        <v>0</v>
      </c>
    </row>
    <row r="248" spans="1:10" ht="14.25" customHeight="1" x14ac:dyDescent="0.2">
      <c r="A248" s="117"/>
      <c r="B248" s="120"/>
      <c r="C248" s="122"/>
      <c r="D248" s="59" t="s">
        <v>10</v>
      </c>
      <c r="E248" s="43">
        <f t="shared" si="148"/>
        <v>0</v>
      </c>
      <c r="F248" s="43">
        <v>0</v>
      </c>
      <c r="G248" s="43">
        <v>0</v>
      </c>
      <c r="H248" s="43">
        <v>0</v>
      </c>
      <c r="I248" s="43">
        <v>0</v>
      </c>
      <c r="J248" s="43">
        <v>0</v>
      </c>
    </row>
    <row r="249" spans="1:10" ht="14.25" customHeight="1" x14ac:dyDescent="0.2">
      <c r="A249" s="115" t="s">
        <v>395</v>
      </c>
      <c r="B249" s="118" t="s">
        <v>66</v>
      </c>
      <c r="C249" s="122"/>
      <c r="D249" s="59" t="s">
        <v>109</v>
      </c>
      <c r="E249" s="43">
        <f>E250+E251</f>
        <v>4950.7</v>
      </c>
      <c r="F249" s="43">
        <f t="shared" ref="F249" si="155">F250+F251</f>
        <v>4950.7</v>
      </c>
      <c r="G249" s="43">
        <f t="shared" ref="G249" si="156">G250+G251</f>
        <v>0</v>
      </c>
      <c r="H249" s="43">
        <f t="shared" ref="H249:J249" si="157">H250+H251</f>
        <v>0</v>
      </c>
      <c r="I249" s="43">
        <f t="shared" si="157"/>
        <v>0</v>
      </c>
      <c r="J249" s="43">
        <f t="shared" si="157"/>
        <v>0</v>
      </c>
    </row>
    <row r="250" spans="1:10" ht="17.25" customHeight="1" x14ac:dyDescent="0.2">
      <c r="A250" s="116"/>
      <c r="B250" s="119"/>
      <c r="C250" s="122"/>
      <c r="D250" s="59" t="s">
        <v>11</v>
      </c>
      <c r="E250" s="43">
        <f>SUM(F250:J250)</f>
        <v>4950.7</v>
      </c>
      <c r="F250" s="43">
        <f>1005.5+3945.2</f>
        <v>4950.7</v>
      </c>
      <c r="G250" s="43">
        <v>0</v>
      </c>
      <c r="H250" s="43">
        <v>0</v>
      </c>
      <c r="I250" s="43">
        <v>0</v>
      </c>
      <c r="J250" s="43">
        <v>0</v>
      </c>
    </row>
    <row r="251" spans="1:10" ht="14.25" customHeight="1" x14ac:dyDescent="0.2">
      <c r="A251" s="117"/>
      <c r="B251" s="120"/>
      <c r="C251" s="123"/>
      <c r="D251" s="59" t="s">
        <v>10</v>
      </c>
      <c r="E251" s="43">
        <f>SUM(F251:J251)</f>
        <v>0</v>
      </c>
      <c r="F251" s="43">
        <v>0</v>
      </c>
      <c r="G251" s="43">
        <v>0</v>
      </c>
      <c r="H251" s="43">
        <v>0</v>
      </c>
      <c r="I251" s="43">
        <v>0</v>
      </c>
      <c r="J251" s="43">
        <v>0</v>
      </c>
    </row>
    <row r="252" spans="1:10" ht="14.25" customHeight="1" x14ac:dyDescent="0.2">
      <c r="A252" s="115" t="s">
        <v>396</v>
      </c>
      <c r="B252" s="118" t="s">
        <v>380</v>
      </c>
      <c r="C252" s="121" t="s">
        <v>295</v>
      </c>
      <c r="D252" s="59" t="s">
        <v>109</v>
      </c>
      <c r="E252" s="43">
        <f>E253+E254</f>
        <v>1388.88</v>
      </c>
      <c r="F252" s="43">
        <f t="shared" ref="F252" si="158">F253+F254</f>
        <v>1388.88</v>
      </c>
      <c r="G252" s="43">
        <f t="shared" ref="G252" si="159">G253+G254</f>
        <v>0</v>
      </c>
      <c r="H252" s="43">
        <f t="shared" ref="H252:J252" si="160">H253+H254</f>
        <v>0</v>
      </c>
      <c r="I252" s="43">
        <f t="shared" si="160"/>
        <v>0</v>
      </c>
      <c r="J252" s="43">
        <f t="shared" si="160"/>
        <v>0</v>
      </c>
    </row>
    <row r="253" spans="1:10" ht="14.25" customHeight="1" x14ac:dyDescent="0.2">
      <c r="A253" s="116"/>
      <c r="B253" s="119"/>
      <c r="C253" s="122"/>
      <c r="D253" s="59" t="s">
        <v>11</v>
      </c>
      <c r="E253" s="43">
        <f>SUM(F253:J253)</f>
        <v>1388.88</v>
      </c>
      <c r="F253" s="43">
        <f t="shared" ref="F253:G253" si="161">F256+F259+F262+F265</f>
        <v>1388.88</v>
      </c>
      <c r="G253" s="43">
        <f t="shared" si="161"/>
        <v>0</v>
      </c>
      <c r="H253" s="43">
        <v>0</v>
      </c>
      <c r="I253" s="43">
        <v>0</v>
      </c>
      <c r="J253" s="43">
        <v>0</v>
      </c>
    </row>
    <row r="254" spans="1:10" ht="14.25" customHeight="1" x14ac:dyDescent="0.2">
      <c r="A254" s="117"/>
      <c r="B254" s="120"/>
      <c r="C254" s="122"/>
      <c r="D254" s="59" t="s">
        <v>10</v>
      </c>
      <c r="E254" s="43">
        <f>SUM(F254:J254)</f>
        <v>0</v>
      </c>
      <c r="F254" s="43">
        <f t="shared" ref="F254:H254" si="162">F257+F260+F263+F266</f>
        <v>0</v>
      </c>
      <c r="G254" s="43">
        <f t="shared" si="162"/>
        <v>0</v>
      </c>
      <c r="H254" s="43">
        <f t="shared" si="162"/>
        <v>0</v>
      </c>
      <c r="I254" s="43">
        <f t="shared" ref="I254:J254" si="163">I257+I260+I263+I266</f>
        <v>0</v>
      </c>
      <c r="J254" s="43">
        <f t="shared" si="163"/>
        <v>0</v>
      </c>
    </row>
    <row r="255" spans="1:10" ht="14.25" customHeight="1" x14ac:dyDescent="0.2">
      <c r="A255" s="115" t="s">
        <v>397</v>
      </c>
      <c r="B255" s="118" t="s">
        <v>360</v>
      </c>
      <c r="C255" s="122"/>
      <c r="D255" s="59" t="s">
        <v>109</v>
      </c>
      <c r="E255" s="43">
        <f>E256+E257</f>
        <v>1388.88</v>
      </c>
      <c r="F255" s="43">
        <f t="shared" ref="F255" si="164">F256+F257</f>
        <v>1388.88</v>
      </c>
      <c r="G255" s="43">
        <f t="shared" ref="G255" si="165">G256+G257</f>
        <v>0</v>
      </c>
      <c r="H255" s="43">
        <f t="shared" ref="H255:J255" si="166">H256+H257</f>
        <v>0</v>
      </c>
      <c r="I255" s="43">
        <f t="shared" si="166"/>
        <v>0</v>
      </c>
      <c r="J255" s="43">
        <f t="shared" si="166"/>
        <v>0</v>
      </c>
    </row>
    <row r="256" spans="1:10" ht="14.25" customHeight="1" x14ac:dyDescent="0.2">
      <c r="A256" s="116"/>
      <c r="B256" s="119"/>
      <c r="C256" s="122"/>
      <c r="D256" s="59" t="s">
        <v>11</v>
      </c>
      <c r="E256" s="43">
        <f>SUM(F256:J256)</f>
        <v>1388.88</v>
      </c>
      <c r="F256" s="43">
        <f>474.78+914.1</f>
        <v>1388.88</v>
      </c>
      <c r="G256" s="43">
        <v>0</v>
      </c>
      <c r="H256" s="43">
        <v>0</v>
      </c>
      <c r="I256" s="43">
        <v>0</v>
      </c>
      <c r="J256" s="43">
        <v>0</v>
      </c>
    </row>
    <row r="257" spans="1:10" ht="14.25" customHeight="1" x14ac:dyDescent="0.2">
      <c r="A257" s="117"/>
      <c r="B257" s="120"/>
      <c r="C257" s="122"/>
      <c r="D257" s="59" t="s">
        <v>10</v>
      </c>
      <c r="E257" s="43">
        <f>SUM(F257:J257)</f>
        <v>0</v>
      </c>
      <c r="F257" s="43">
        <v>0</v>
      </c>
      <c r="G257" s="43">
        <v>0</v>
      </c>
      <c r="H257" s="43">
        <v>0</v>
      </c>
      <c r="I257" s="43">
        <v>0</v>
      </c>
      <c r="J257" s="43">
        <v>0</v>
      </c>
    </row>
    <row r="258" spans="1:10" ht="14.25" customHeight="1" x14ac:dyDescent="0.2">
      <c r="A258" s="115" t="s">
        <v>398</v>
      </c>
      <c r="B258" s="118" t="s">
        <v>367</v>
      </c>
      <c r="C258" s="122"/>
      <c r="D258" s="59" t="s">
        <v>109</v>
      </c>
      <c r="E258" s="43">
        <f t="shared" ref="E258:E266" si="167">F258+G258+H258</f>
        <v>0</v>
      </c>
      <c r="F258" s="43">
        <f t="shared" ref="F258" si="168">F259+F260</f>
        <v>0</v>
      </c>
      <c r="G258" s="43">
        <f t="shared" ref="G258" si="169">G259+G260</f>
        <v>0</v>
      </c>
      <c r="H258" s="43">
        <f t="shared" ref="H258:J258" si="170">H259+H260</f>
        <v>0</v>
      </c>
      <c r="I258" s="43">
        <f t="shared" si="170"/>
        <v>0</v>
      </c>
      <c r="J258" s="43">
        <f t="shared" si="170"/>
        <v>0</v>
      </c>
    </row>
    <row r="259" spans="1:10" ht="14.25" customHeight="1" x14ac:dyDescent="0.2">
      <c r="A259" s="116"/>
      <c r="B259" s="119"/>
      <c r="C259" s="122"/>
      <c r="D259" s="59" t="s">
        <v>11</v>
      </c>
      <c r="E259" s="43">
        <f t="shared" si="167"/>
        <v>0</v>
      </c>
      <c r="F259" s="43">
        <v>0</v>
      </c>
      <c r="G259" s="43">
        <v>0</v>
      </c>
      <c r="H259" s="43">
        <v>0</v>
      </c>
      <c r="I259" s="43">
        <v>0</v>
      </c>
      <c r="J259" s="43">
        <v>0</v>
      </c>
    </row>
    <row r="260" spans="1:10" ht="14.25" customHeight="1" x14ac:dyDescent="0.2">
      <c r="A260" s="117"/>
      <c r="B260" s="120"/>
      <c r="C260" s="122"/>
      <c r="D260" s="59" t="s">
        <v>10</v>
      </c>
      <c r="E260" s="43">
        <f t="shared" si="167"/>
        <v>0</v>
      </c>
      <c r="F260" s="43">
        <v>0</v>
      </c>
      <c r="G260" s="43">
        <v>0</v>
      </c>
      <c r="H260" s="43">
        <v>0</v>
      </c>
      <c r="I260" s="43">
        <v>0</v>
      </c>
      <c r="J260" s="43">
        <v>0</v>
      </c>
    </row>
    <row r="261" spans="1:10" ht="14.25" customHeight="1" x14ac:dyDescent="0.2">
      <c r="A261" s="115" t="s">
        <v>399</v>
      </c>
      <c r="B261" s="118" t="s">
        <v>366</v>
      </c>
      <c r="C261" s="122"/>
      <c r="D261" s="59" t="s">
        <v>109</v>
      </c>
      <c r="E261" s="43">
        <f t="shared" si="167"/>
        <v>0</v>
      </c>
      <c r="F261" s="43">
        <f t="shared" ref="F261" si="171">F262+F263</f>
        <v>0</v>
      </c>
      <c r="G261" s="43">
        <f t="shared" ref="G261" si="172">G262+G263</f>
        <v>0</v>
      </c>
      <c r="H261" s="43">
        <f t="shared" ref="H261:J261" si="173">H262+H263</f>
        <v>0</v>
      </c>
      <c r="I261" s="43">
        <f t="shared" si="173"/>
        <v>0</v>
      </c>
      <c r="J261" s="43">
        <f t="shared" si="173"/>
        <v>0</v>
      </c>
    </row>
    <row r="262" spans="1:10" ht="14.25" customHeight="1" x14ac:dyDescent="0.2">
      <c r="A262" s="116"/>
      <c r="B262" s="119"/>
      <c r="C262" s="122"/>
      <c r="D262" s="59" t="s">
        <v>11</v>
      </c>
      <c r="E262" s="43">
        <f t="shared" si="167"/>
        <v>0</v>
      </c>
      <c r="F262" s="43">
        <v>0</v>
      </c>
      <c r="G262" s="43">
        <v>0</v>
      </c>
      <c r="H262" s="43">
        <v>0</v>
      </c>
      <c r="I262" s="43">
        <v>0</v>
      </c>
      <c r="J262" s="43">
        <v>0</v>
      </c>
    </row>
    <row r="263" spans="1:10" ht="14.25" customHeight="1" x14ac:dyDescent="0.2">
      <c r="A263" s="117"/>
      <c r="B263" s="120"/>
      <c r="C263" s="122"/>
      <c r="D263" s="59" t="s">
        <v>10</v>
      </c>
      <c r="E263" s="43">
        <f t="shared" si="167"/>
        <v>0</v>
      </c>
      <c r="F263" s="43">
        <v>0</v>
      </c>
      <c r="G263" s="43">
        <v>0</v>
      </c>
      <c r="H263" s="43">
        <v>0</v>
      </c>
      <c r="I263" s="43">
        <v>0</v>
      </c>
      <c r="J263" s="43">
        <v>0</v>
      </c>
    </row>
    <row r="264" spans="1:10" ht="14.25" customHeight="1" x14ac:dyDescent="0.2">
      <c r="A264" s="115" t="s">
        <v>400</v>
      </c>
      <c r="B264" s="118" t="s">
        <v>66</v>
      </c>
      <c r="C264" s="122"/>
      <c r="D264" s="59" t="s">
        <v>109</v>
      </c>
      <c r="E264" s="43">
        <f t="shared" si="167"/>
        <v>0</v>
      </c>
      <c r="F264" s="43">
        <f t="shared" ref="F264" si="174">F265+F266</f>
        <v>0</v>
      </c>
      <c r="G264" s="43">
        <f t="shared" ref="G264" si="175">G265+G266</f>
        <v>0</v>
      </c>
      <c r="H264" s="43">
        <f t="shared" ref="H264:J264" si="176">H265+H266</f>
        <v>0</v>
      </c>
      <c r="I264" s="43">
        <f t="shared" si="176"/>
        <v>0</v>
      </c>
      <c r="J264" s="43">
        <f t="shared" si="176"/>
        <v>0</v>
      </c>
    </row>
    <row r="265" spans="1:10" ht="14.25" customHeight="1" x14ac:dyDescent="0.2">
      <c r="A265" s="116"/>
      <c r="B265" s="119"/>
      <c r="C265" s="122"/>
      <c r="D265" s="59" t="s">
        <v>11</v>
      </c>
      <c r="E265" s="43">
        <f t="shared" si="167"/>
        <v>0</v>
      </c>
      <c r="F265" s="43">
        <v>0</v>
      </c>
      <c r="G265" s="43">
        <v>0</v>
      </c>
      <c r="H265" s="43">
        <v>0</v>
      </c>
      <c r="I265" s="43">
        <v>0</v>
      </c>
      <c r="J265" s="43">
        <v>0</v>
      </c>
    </row>
    <row r="266" spans="1:10" ht="14.25" customHeight="1" x14ac:dyDescent="0.2">
      <c r="A266" s="117"/>
      <c r="B266" s="120"/>
      <c r="C266" s="123"/>
      <c r="D266" s="59" t="s">
        <v>10</v>
      </c>
      <c r="E266" s="43">
        <f t="shared" si="167"/>
        <v>0</v>
      </c>
      <c r="F266" s="43">
        <v>0</v>
      </c>
      <c r="G266" s="43">
        <v>0</v>
      </c>
      <c r="H266" s="43">
        <v>0</v>
      </c>
      <c r="I266" s="43">
        <v>0</v>
      </c>
      <c r="J266" s="43">
        <v>0</v>
      </c>
    </row>
    <row r="267" spans="1:10" ht="14.25" customHeight="1" x14ac:dyDescent="0.2">
      <c r="A267" s="133" t="s">
        <v>186</v>
      </c>
      <c r="B267" s="134"/>
      <c r="C267" s="135"/>
      <c r="D267" s="62" t="s">
        <v>109</v>
      </c>
      <c r="E267" s="43">
        <f>E268+E269+E270</f>
        <v>48368.340000000004</v>
      </c>
      <c r="F267" s="47">
        <f>F268+F270+F269</f>
        <v>12993.14</v>
      </c>
      <c r="G267" s="47">
        <f t="shared" ref="G267:J267" si="177">G268+G270+G269</f>
        <v>8473.4000000000015</v>
      </c>
      <c r="H267" s="47">
        <f t="shared" si="177"/>
        <v>3000</v>
      </c>
      <c r="I267" s="47">
        <f t="shared" si="177"/>
        <v>11950.9</v>
      </c>
      <c r="J267" s="47">
        <f t="shared" si="177"/>
        <v>11950.9</v>
      </c>
    </row>
    <row r="268" spans="1:10" ht="14.25" customHeight="1" x14ac:dyDescent="0.2">
      <c r="A268" s="136"/>
      <c r="B268" s="137"/>
      <c r="C268" s="138"/>
      <c r="D268" s="59" t="s">
        <v>11</v>
      </c>
      <c r="E268" s="43">
        <f>SUM(F268:J268)</f>
        <v>41064.04</v>
      </c>
      <c r="F268" s="43">
        <f>F176+F191+F206+F221+F238+F253+F173</f>
        <v>11961.439999999999</v>
      </c>
      <c r="G268" s="43">
        <f>G176+G191+G206+G221+G238+G253+G173</f>
        <v>2200.8000000000002</v>
      </c>
      <c r="H268" s="43">
        <f>H176+H191+H206+H221+H238+H253+H173</f>
        <v>3000</v>
      </c>
      <c r="I268" s="43">
        <f t="shared" ref="I268:J268" si="178">I176+I191+I206+I221+I238+I253+I173</f>
        <v>11950.9</v>
      </c>
      <c r="J268" s="43">
        <f t="shared" si="178"/>
        <v>11950.9</v>
      </c>
    </row>
    <row r="269" spans="1:10" ht="14.25" customHeight="1" x14ac:dyDescent="0.2">
      <c r="A269" s="136"/>
      <c r="B269" s="137"/>
      <c r="C269" s="138"/>
      <c r="D269" s="59" t="s">
        <v>10</v>
      </c>
      <c r="E269" s="43">
        <f>SUM(F269:J269)</f>
        <v>2994.8</v>
      </c>
      <c r="F269" s="43">
        <f>F177+F192+F207+F222+F239+F254</f>
        <v>423</v>
      </c>
      <c r="G269" s="43">
        <f t="shared" ref="G269:J269" si="179">G177+G192+G207+G222+G239+G254</f>
        <v>2571.8000000000002</v>
      </c>
      <c r="H269" s="43">
        <f t="shared" si="179"/>
        <v>0</v>
      </c>
      <c r="I269" s="43">
        <f t="shared" si="179"/>
        <v>0</v>
      </c>
      <c r="J269" s="43">
        <f t="shared" si="179"/>
        <v>0</v>
      </c>
    </row>
    <row r="270" spans="1:10" ht="14.25" customHeight="1" x14ac:dyDescent="0.2">
      <c r="A270" s="139"/>
      <c r="B270" s="140"/>
      <c r="C270" s="141"/>
      <c r="D270" s="59" t="s">
        <v>12</v>
      </c>
      <c r="E270" s="43">
        <f>SUM(F270:J270)</f>
        <v>4309.5</v>
      </c>
      <c r="F270" s="43">
        <f>F223</f>
        <v>608.70000000000005</v>
      </c>
      <c r="G270" s="43">
        <f t="shared" ref="G270:J270" si="180">G236</f>
        <v>3700.8</v>
      </c>
      <c r="H270" s="43">
        <f t="shared" si="180"/>
        <v>0</v>
      </c>
      <c r="I270" s="43">
        <f t="shared" si="180"/>
        <v>0</v>
      </c>
      <c r="J270" s="43">
        <f t="shared" si="180"/>
        <v>0</v>
      </c>
    </row>
    <row r="271" spans="1:10" x14ac:dyDescent="0.2">
      <c r="A271" s="155" t="s">
        <v>79</v>
      </c>
      <c r="B271" s="156"/>
      <c r="C271" s="156"/>
      <c r="D271" s="156"/>
      <c r="E271" s="156"/>
      <c r="F271" s="156"/>
      <c r="G271" s="156"/>
      <c r="H271" s="156"/>
      <c r="I271" s="156"/>
      <c r="J271" s="156"/>
    </row>
    <row r="272" spans="1:10" ht="21" customHeight="1" x14ac:dyDescent="0.2">
      <c r="A272" s="115" t="s">
        <v>170</v>
      </c>
      <c r="B272" s="118" t="s">
        <v>284</v>
      </c>
      <c r="C272" s="121" t="s">
        <v>297</v>
      </c>
      <c r="D272" s="59" t="s">
        <v>109</v>
      </c>
      <c r="E272" s="43">
        <f>E273+E274</f>
        <v>2953.2000000000003</v>
      </c>
      <c r="F272" s="43">
        <f t="shared" ref="F272:J272" si="181">F273+F274</f>
        <v>964.4</v>
      </c>
      <c r="G272" s="43">
        <v>60</v>
      </c>
      <c r="H272" s="43">
        <f t="shared" si="181"/>
        <v>0</v>
      </c>
      <c r="I272" s="43">
        <f t="shared" si="181"/>
        <v>964.4</v>
      </c>
      <c r="J272" s="43">
        <f t="shared" si="181"/>
        <v>964.4</v>
      </c>
    </row>
    <row r="273" spans="1:10" ht="16.5" customHeight="1" x14ac:dyDescent="0.2">
      <c r="A273" s="116"/>
      <c r="B273" s="119"/>
      <c r="C273" s="122"/>
      <c r="D273" s="59" t="s">
        <v>11</v>
      </c>
      <c r="E273" s="43">
        <f>SUM(F273:J273)</f>
        <v>2953.2000000000003</v>
      </c>
      <c r="F273" s="43">
        <v>964.4</v>
      </c>
      <c r="G273" s="43">
        <v>60</v>
      </c>
      <c r="H273" s="43">
        <v>0</v>
      </c>
      <c r="I273" s="43">
        <v>964.4</v>
      </c>
      <c r="J273" s="43">
        <v>964.4</v>
      </c>
    </row>
    <row r="274" spans="1:10" ht="16.5" customHeight="1" x14ac:dyDescent="0.2">
      <c r="A274" s="117"/>
      <c r="B274" s="120"/>
      <c r="C274" s="123"/>
      <c r="D274" s="59" t="s">
        <v>10</v>
      </c>
      <c r="E274" s="43">
        <f>F274+G274+H274</f>
        <v>0</v>
      </c>
      <c r="F274" s="43">
        <v>0</v>
      </c>
      <c r="G274" s="43">
        <v>0</v>
      </c>
      <c r="H274" s="43">
        <v>0</v>
      </c>
      <c r="I274" s="43">
        <v>0</v>
      </c>
      <c r="J274" s="43">
        <v>0</v>
      </c>
    </row>
    <row r="275" spans="1:10" ht="14.25" customHeight="1" x14ac:dyDescent="0.2">
      <c r="A275" s="133" t="s">
        <v>188</v>
      </c>
      <c r="B275" s="134"/>
      <c r="C275" s="135"/>
      <c r="D275" s="59" t="s">
        <v>109</v>
      </c>
      <c r="E275" s="43">
        <f>E276+E277</f>
        <v>2953.2000000000003</v>
      </c>
      <c r="F275" s="43">
        <f t="shared" ref="F275:J275" si="182">F276+F277</f>
        <v>964.4</v>
      </c>
      <c r="G275" s="43">
        <f t="shared" si="182"/>
        <v>60</v>
      </c>
      <c r="H275" s="43">
        <f t="shared" si="182"/>
        <v>0</v>
      </c>
      <c r="I275" s="43">
        <f t="shared" si="182"/>
        <v>964.4</v>
      </c>
      <c r="J275" s="43">
        <f t="shared" si="182"/>
        <v>964.4</v>
      </c>
    </row>
    <row r="276" spans="1:10" ht="14.25" customHeight="1" x14ac:dyDescent="0.2">
      <c r="A276" s="136"/>
      <c r="B276" s="137"/>
      <c r="C276" s="138"/>
      <c r="D276" s="59" t="s">
        <v>11</v>
      </c>
      <c r="E276" s="43">
        <f>SUM(F276:J276)</f>
        <v>2953.2000000000003</v>
      </c>
      <c r="F276" s="43">
        <f t="shared" ref="F276:J277" si="183">F273</f>
        <v>964.4</v>
      </c>
      <c r="G276" s="43">
        <v>60</v>
      </c>
      <c r="H276" s="43">
        <f t="shared" si="183"/>
        <v>0</v>
      </c>
      <c r="I276" s="43">
        <f t="shared" si="183"/>
        <v>964.4</v>
      </c>
      <c r="J276" s="43">
        <f t="shared" si="183"/>
        <v>964.4</v>
      </c>
    </row>
    <row r="277" spans="1:10" ht="14.25" customHeight="1" x14ac:dyDescent="0.2">
      <c r="A277" s="139"/>
      <c r="B277" s="140"/>
      <c r="C277" s="141"/>
      <c r="D277" s="59" t="s">
        <v>10</v>
      </c>
      <c r="E277" s="43">
        <f>E274</f>
        <v>0</v>
      </c>
      <c r="F277" s="43">
        <f t="shared" si="183"/>
        <v>0</v>
      </c>
      <c r="G277" s="43">
        <v>0</v>
      </c>
      <c r="H277" s="43">
        <f t="shared" si="183"/>
        <v>0</v>
      </c>
      <c r="I277" s="43">
        <f t="shared" si="183"/>
        <v>0</v>
      </c>
      <c r="J277" s="43">
        <f t="shared" si="183"/>
        <v>0</v>
      </c>
    </row>
    <row r="278" spans="1:10" ht="18.75" customHeight="1" x14ac:dyDescent="0.2">
      <c r="A278" s="155" t="s">
        <v>81</v>
      </c>
      <c r="B278" s="156"/>
      <c r="C278" s="156"/>
      <c r="D278" s="156"/>
      <c r="E278" s="156"/>
      <c r="F278" s="156"/>
      <c r="G278" s="156"/>
      <c r="H278" s="156"/>
      <c r="I278" s="156"/>
      <c r="J278" s="156"/>
    </row>
    <row r="279" spans="1:10" ht="48.75" customHeight="1" x14ac:dyDescent="0.2">
      <c r="A279" s="115" t="s">
        <v>171</v>
      </c>
      <c r="B279" s="118" t="s">
        <v>324</v>
      </c>
      <c r="C279" s="121" t="s">
        <v>426</v>
      </c>
      <c r="D279" s="59" t="s">
        <v>109</v>
      </c>
      <c r="E279" s="43">
        <f>E280+E281</f>
        <v>735.6</v>
      </c>
      <c r="F279" s="43">
        <f t="shared" ref="F279:J279" si="184">F280+F281</f>
        <v>143.6</v>
      </c>
      <c r="G279" s="43">
        <f t="shared" si="184"/>
        <v>149.4</v>
      </c>
      <c r="H279" s="43">
        <f t="shared" si="184"/>
        <v>155.4</v>
      </c>
      <c r="I279" s="43">
        <f t="shared" si="184"/>
        <v>143.6</v>
      </c>
      <c r="J279" s="43">
        <f t="shared" si="184"/>
        <v>143.6</v>
      </c>
    </row>
    <row r="280" spans="1:10" ht="16.5" customHeight="1" x14ac:dyDescent="0.2">
      <c r="A280" s="116"/>
      <c r="B280" s="119"/>
      <c r="C280" s="122"/>
      <c r="D280" s="59" t="s">
        <v>11</v>
      </c>
      <c r="E280" s="43">
        <f>SUM(F280:J280)</f>
        <v>735.6</v>
      </c>
      <c r="F280" s="43">
        <v>143.6</v>
      </c>
      <c r="G280" s="43">
        <v>149.4</v>
      </c>
      <c r="H280" s="43">
        <v>155.4</v>
      </c>
      <c r="I280" s="43">
        <v>143.6</v>
      </c>
      <c r="J280" s="43">
        <v>143.6</v>
      </c>
    </row>
    <row r="281" spans="1:10" ht="16.5" customHeight="1" x14ac:dyDescent="0.2">
      <c r="A281" s="117"/>
      <c r="B281" s="120"/>
      <c r="C281" s="123"/>
      <c r="D281" s="59" t="s">
        <v>10</v>
      </c>
      <c r="E281" s="43">
        <f>F281+G281+H281</f>
        <v>0</v>
      </c>
      <c r="F281" s="43">
        <v>0</v>
      </c>
      <c r="G281" s="43">
        <v>0</v>
      </c>
      <c r="H281" s="43">
        <v>0</v>
      </c>
      <c r="I281" s="43">
        <v>0</v>
      </c>
      <c r="J281" s="43">
        <v>0</v>
      </c>
    </row>
    <row r="282" spans="1:10" ht="48" customHeight="1" x14ac:dyDescent="0.2">
      <c r="A282" s="60" t="s">
        <v>172</v>
      </c>
      <c r="B282" s="61" t="s">
        <v>270</v>
      </c>
      <c r="C282" s="59" t="s">
        <v>297</v>
      </c>
      <c r="D282" s="59" t="s">
        <v>11</v>
      </c>
      <c r="E282" s="43">
        <f>F282+G282+H282</f>
        <v>0</v>
      </c>
      <c r="F282" s="43">
        <v>0</v>
      </c>
      <c r="G282" s="43">
        <v>0</v>
      </c>
      <c r="H282" s="43">
        <v>0</v>
      </c>
      <c r="I282" s="43">
        <v>0</v>
      </c>
      <c r="J282" s="43">
        <v>0</v>
      </c>
    </row>
    <row r="283" spans="1:10" ht="48" customHeight="1" x14ac:dyDescent="0.2">
      <c r="A283" s="60" t="s">
        <v>173</v>
      </c>
      <c r="B283" s="61" t="s">
        <v>82</v>
      </c>
      <c r="C283" s="59" t="s">
        <v>427</v>
      </c>
      <c r="D283" s="59" t="s">
        <v>11</v>
      </c>
      <c r="E283" s="43">
        <f>F283+G283+H283</f>
        <v>0</v>
      </c>
      <c r="F283" s="43">
        <v>0</v>
      </c>
      <c r="G283" s="43">
        <v>0</v>
      </c>
      <c r="H283" s="43">
        <v>0</v>
      </c>
      <c r="I283" s="43">
        <v>0</v>
      </c>
      <c r="J283" s="43">
        <v>0</v>
      </c>
    </row>
    <row r="284" spans="1:10" ht="21.75" customHeight="1" x14ac:dyDescent="0.2">
      <c r="A284" s="115" t="s">
        <v>174</v>
      </c>
      <c r="B284" s="118" t="s">
        <v>83</v>
      </c>
      <c r="C284" s="121" t="s">
        <v>428</v>
      </c>
      <c r="D284" s="59" t="s">
        <v>109</v>
      </c>
      <c r="E284" s="43">
        <f>E285+E286</f>
        <v>291</v>
      </c>
      <c r="F284" s="43">
        <f t="shared" ref="F284:J284" si="185">F285+F286</f>
        <v>57</v>
      </c>
      <c r="G284" s="43">
        <f t="shared" si="185"/>
        <v>59</v>
      </c>
      <c r="H284" s="43">
        <f t="shared" si="185"/>
        <v>61</v>
      </c>
      <c r="I284" s="43">
        <f t="shared" si="185"/>
        <v>57</v>
      </c>
      <c r="J284" s="43">
        <f t="shared" si="185"/>
        <v>57</v>
      </c>
    </row>
    <row r="285" spans="1:10" ht="16.5" customHeight="1" x14ac:dyDescent="0.2">
      <c r="A285" s="116"/>
      <c r="B285" s="119"/>
      <c r="C285" s="122"/>
      <c r="D285" s="59" t="s">
        <v>11</v>
      </c>
      <c r="E285" s="43">
        <f>SUM(F285:J285)</f>
        <v>291</v>
      </c>
      <c r="F285" s="43">
        <v>57</v>
      </c>
      <c r="G285" s="43">
        <v>59</v>
      </c>
      <c r="H285" s="43">
        <v>61</v>
      </c>
      <c r="I285" s="43">
        <v>57</v>
      </c>
      <c r="J285" s="43">
        <v>57</v>
      </c>
    </row>
    <row r="286" spans="1:10" ht="16.5" customHeight="1" x14ac:dyDescent="0.2">
      <c r="A286" s="117"/>
      <c r="B286" s="120"/>
      <c r="C286" s="123"/>
      <c r="D286" s="59" t="s">
        <v>10</v>
      </c>
      <c r="E286" s="43">
        <f>F286+G286+H286</f>
        <v>0</v>
      </c>
      <c r="F286" s="43">
        <v>0</v>
      </c>
      <c r="G286" s="43">
        <v>0</v>
      </c>
      <c r="H286" s="43">
        <v>0</v>
      </c>
      <c r="I286" s="43">
        <v>0</v>
      </c>
      <c r="J286" s="43">
        <v>0</v>
      </c>
    </row>
    <row r="287" spans="1:10" ht="39.75" customHeight="1" x14ac:dyDescent="0.2">
      <c r="A287" s="60" t="s">
        <v>175</v>
      </c>
      <c r="B287" s="61" t="s">
        <v>84</v>
      </c>
      <c r="C287" s="59" t="s">
        <v>426</v>
      </c>
      <c r="D287" s="59" t="s">
        <v>11</v>
      </c>
      <c r="E287" s="43">
        <f>F287+G287+H287</f>
        <v>0</v>
      </c>
      <c r="F287" s="43">
        <v>0</v>
      </c>
      <c r="G287" s="43">
        <v>0</v>
      </c>
      <c r="H287" s="43">
        <v>0</v>
      </c>
      <c r="I287" s="43">
        <v>0</v>
      </c>
      <c r="J287" s="43">
        <v>0</v>
      </c>
    </row>
    <row r="288" spans="1:10" ht="39.75" customHeight="1" x14ac:dyDescent="0.2">
      <c r="A288" s="60" t="s">
        <v>176</v>
      </c>
      <c r="B288" s="61" t="s">
        <v>85</v>
      </c>
      <c r="C288" s="59" t="s">
        <v>429</v>
      </c>
      <c r="D288" s="59" t="s">
        <v>11</v>
      </c>
      <c r="E288" s="43">
        <f>F288+G288+H288</f>
        <v>0</v>
      </c>
      <c r="F288" s="43">
        <v>0</v>
      </c>
      <c r="G288" s="43">
        <v>0</v>
      </c>
      <c r="H288" s="43">
        <v>0</v>
      </c>
      <c r="I288" s="43">
        <v>0</v>
      </c>
      <c r="J288" s="43">
        <v>0</v>
      </c>
    </row>
    <row r="289" spans="1:10" ht="39.75" customHeight="1" x14ac:dyDescent="0.2">
      <c r="A289" s="60" t="s">
        <v>177</v>
      </c>
      <c r="B289" s="61" t="s">
        <v>86</v>
      </c>
      <c r="C289" s="59" t="s">
        <v>430</v>
      </c>
      <c r="D289" s="59" t="s">
        <v>11</v>
      </c>
      <c r="E289" s="43">
        <f>F289+G289+H289</f>
        <v>0</v>
      </c>
      <c r="F289" s="43">
        <v>0</v>
      </c>
      <c r="G289" s="43">
        <v>0</v>
      </c>
      <c r="H289" s="43">
        <v>0</v>
      </c>
      <c r="I289" s="43">
        <v>0</v>
      </c>
      <c r="J289" s="43">
        <v>0</v>
      </c>
    </row>
    <row r="290" spans="1:10" ht="19.5" customHeight="1" x14ac:dyDescent="0.2">
      <c r="A290" s="115" t="s">
        <v>178</v>
      </c>
      <c r="B290" s="118" t="s">
        <v>87</v>
      </c>
      <c r="C290" s="121" t="s">
        <v>301</v>
      </c>
      <c r="D290" s="59" t="s">
        <v>109</v>
      </c>
      <c r="E290" s="43">
        <f>E291+E292</f>
        <v>0</v>
      </c>
      <c r="F290" s="43">
        <f t="shared" ref="F290:J290" si="186">F291+F292</f>
        <v>0</v>
      </c>
      <c r="G290" s="43">
        <f t="shared" si="186"/>
        <v>0</v>
      </c>
      <c r="H290" s="43">
        <f t="shared" si="186"/>
        <v>0</v>
      </c>
      <c r="I290" s="43">
        <f t="shared" si="186"/>
        <v>0</v>
      </c>
      <c r="J290" s="43">
        <f t="shared" si="186"/>
        <v>0</v>
      </c>
    </row>
    <row r="291" spans="1:10" ht="16.5" customHeight="1" x14ac:dyDescent="0.2">
      <c r="A291" s="116"/>
      <c r="B291" s="119"/>
      <c r="C291" s="122"/>
      <c r="D291" s="59" t="s">
        <v>11</v>
      </c>
      <c r="E291" s="43">
        <f>F291+G291+H291</f>
        <v>0</v>
      </c>
      <c r="F291" s="43">
        <v>0</v>
      </c>
      <c r="G291" s="43">
        <v>0</v>
      </c>
      <c r="H291" s="43">
        <v>0</v>
      </c>
      <c r="I291" s="43">
        <v>0</v>
      </c>
      <c r="J291" s="43">
        <v>0</v>
      </c>
    </row>
    <row r="292" spans="1:10" ht="16.5" customHeight="1" x14ac:dyDescent="0.2">
      <c r="A292" s="117"/>
      <c r="B292" s="120"/>
      <c r="C292" s="123"/>
      <c r="D292" s="59" t="s">
        <v>10</v>
      </c>
      <c r="E292" s="43">
        <f>F292+G292+H292</f>
        <v>0</v>
      </c>
      <c r="F292" s="43">
        <v>0</v>
      </c>
      <c r="G292" s="43">
        <v>0</v>
      </c>
      <c r="H292" s="43">
        <v>0</v>
      </c>
      <c r="I292" s="43">
        <v>0</v>
      </c>
      <c r="J292" s="43">
        <v>0</v>
      </c>
    </row>
    <row r="293" spans="1:10" ht="25.5" customHeight="1" x14ac:dyDescent="0.2">
      <c r="A293" s="115" t="s">
        <v>179</v>
      </c>
      <c r="B293" s="118" t="s">
        <v>88</v>
      </c>
      <c r="C293" s="121" t="s">
        <v>301</v>
      </c>
      <c r="D293" s="59" t="s">
        <v>109</v>
      </c>
      <c r="E293" s="43">
        <f>E294+E295</f>
        <v>1091</v>
      </c>
      <c r="F293" s="43">
        <f t="shared" ref="F293:J293" si="187">F294+F295</f>
        <v>218.2</v>
      </c>
      <c r="G293" s="43">
        <f t="shared" si="187"/>
        <v>218.2</v>
      </c>
      <c r="H293" s="43">
        <f t="shared" si="187"/>
        <v>218.2</v>
      </c>
      <c r="I293" s="43">
        <f t="shared" si="187"/>
        <v>218.2</v>
      </c>
      <c r="J293" s="43">
        <f t="shared" si="187"/>
        <v>218.2</v>
      </c>
    </row>
    <row r="294" spans="1:10" ht="16.5" customHeight="1" x14ac:dyDescent="0.2">
      <c r="A294" s="116"/>
      <c r="B294" s="119"/>
      <c r="C294" s="122"/>
      <c r="D294" s="59" t="s">
        <v>11</v>
      </c>
      <c r="E294" s="43">
        <f>SUM(F294:J294)</f>
        <v>0</v>
      </c>
      <c r="F294" s="43">
        <v>0</v>
      </c>
      <c r="G294" s="43">
        <v>0</v>
      </c>
      <c r="H294" s="43">
        <v>0</v>
      </c>
      <c r="I294" s="43">
        <v>0</v>
      </c>
      <c r="J294" s="43">
        <v>0</v>
      </c>
    </row>
    <row r="295" spans="1:10" ht="16.5" customHeight="1" x14ac:dyDescent="0.2">
      <c r="A295" s="117"/>
      <c r="B295" s="120"/>
      <c r="C295" s="123"/>
      <c r="D295" s="59" t="s">
        <v>10</v>
      </c>
      <c r="E295" s="43">
        <f>SUM(F295:J295)</f>
        <v>1091</v>
      </c>
      <c r="F295" s="43">
        <v>218.2</v>
      </c>
      <c r="G295" s="43">
        <v>218.2</v>
      </c>
      <c r="H295" s="43">
        <v>218.2</v>
      </c>
      <c r="I295" s="43">
        <v>218.2</v>
      </c>
      <c r="J295" s="43">
        <v>218.2</v>
      </c>
    </row>
    <row r="296" spans="1:10" ht="51" customHeight="1" x14ac:dyDescent="0.2">
      <c r="A296" s="115" t="s">
        <v>180</v>
      </c>
      <c r="B296" s="118" t="s">
        <v>423</v>
      </c>
      <c r="C296" s="121" t="s">
        <v>302</v>
      </c>
      <c r="D296" s="59" t="s">
        <v>109</v>
      </c>
      <c r="E296" s="43">
        <f>E297+E298</f>
        <v>10795.099999999999</v>
      </c>
      <c r="F296" s="43">
        <f t="shared" ref="F296:J296" si="188">F297+F298</f>
        <v>2107.8000000000002</v>
      </c>
      <c r="G296" s="43">
        <f t="shared" si="188"/>
        <v>2192</v>
      </c>
      <c r="H296" s="43">
        <f t="shared" si="188"/>
        <v>2279.6999999999998</v>
      </c>
      <c r="I296" s="43">
        <f t="shared" si="188"/>
        <v>2107.8000000000002</v>
      </c>
      <c r="J296" s="43">
        <f t="shared" si="188"/>
        <v>2107.8000000000002</v>
      </c>
    </row>
    <row r="297" spans="1:10" ht="16.5" customHeight="1" x14ac:dyDescent="0.2">
      <c r="A297" s="116"/>
      <c r="B297" s="119"/>
      <c r="C297" s="122"/>
      <c r="D297" s="59" t="s">
        <v>11</v>
      </c>
      <c r="E297" s="43">
        <f>SUM(F297:J297)</f>
        <v>10795.099999999999</v>
      </c>
      <c r="F297" s="43">
        <v>2107.8000000000002</v>
      </c>
      <c r="G297" s="43">
        <v>2192</v>
      </c>
      <c r="H297" s="43">
        <v>2279.6999999999998</v>
      </c>
      <c r="I297" s="43">
        <v>2107.8000000000002</v>
      </c>
      <c r="J297" s="43">
        <v>2107.8000000000002</v>
      </c>
    </row>
    <row r="298" spans="1:10" ht="16.5" customHeight="1" x14ac:dyDescent="0.2">
      <c r="A298" s="117"/>
      <c r="B298" s="120"/>
      <c r="C298" s="123"/>
      <c r="D298" s="59" t="s">
        <v>10</v>
      </c>
      <c r="E298" s="43">
        <f>F298+G298+H298</f>
        <v>0</v>
      </c>
      <c r="F298" s="43">
        <v>0</v>
      </c>
      <c r="G298" s="43">
        <v>0</v>
      </c>
      <c r="H298" s="43">
        <v>0</v>
      </c>
      <c r="I298" s="43">
        <v>0</v>
      </c>
      <c r="J298" s="43">
        <v>0</v>
      </c>
    </row>
    <row r="299" spans="1:10" ht="14.25" customHeight="1" x14ac:dyDescent="0.2">
      <c r="A299" s="115" t="s">
        <v>181</v>
      </c>
      <c r="B299" s="118" t="s">
        <v>405</v>
      </c>
      <c r="C299" s="121" t="s">
        <v>25</v>
      </c>
      <c r="D299" s="59" t="s">
        <v>109</v>
      </c>
      <c r="E299" s="43">
        <f>E300+E301</f>
        <v>0</v>
      </c>
      <c r="F299" s="43">
        <f t="shared" ref="F299:J299" si="189">F300+F301</f>
        <v>0</v>
      </c>
      <c r="G299" s="43">
        <f t="shared" si="189"/>
        <v>0</v>
      </c>
      <c r="H299" s="43">
        <f t="shared" si="189"/>
        <v>0</v>
      </c>
      <c r="I299" s="43">
        <f t="shared" si="189"/>
        <v>0</v>
      </c>
      <c r="J299" s="43">
        <f t="shared" si="189"/>
        <v>0</v>
      </c>
    </row>
    <row r="300" spans="1:10" ht="14.25" customHeight="1" x14ac:dyDescent="0.2">
      <c r="A300" s="116"/>
      <c r="B300" s="119"/>
      <c r="C300" s="122"/>
      <c r="D300" s="59" t="s">
        <v>11</v>
      </c>
      <c r="E300" s="43">
        <f>F300+G300+H300</f>
        <v>0</v>
      </c>
      <c r="F300" s="43">
        <v>0</v>
      </c>
      <c r="G300" s="43">
        <v>0</v>
      </c>
      <c r="H300" s="43">
        <v>0</v>
      </c>
      <c r="I300" s="43">
        <v>0</v>
      </c>
      <c r="J300" s="43">
        <v>0</v>
      </c>
    </row>
    <row r="301" spans="1:10" ht="14.25" customHeight="1" x14ac:dyDescent="0.2">
      <c r="A301" s="117"/>
      <c r="B301" s="120"/>
      <c r="C301" s="123"/>
      <c r="D301" s="59" t="s">
        <v>10</v>
      </c>
      <c r="E301" s="43">
        <f>F301+G301+H301</f>
        <v>0</v>
      </c>
      <c r="F301" s="43">
        <v>0</v>
      </c>
      <c r="G301" s="43">
        <v>0</v>
      </c>
      <c r="H301" s="43">
        <v>0</v>
      </c>
      <c r="I301" s="43">
        <v>0</v>
      </c>
      <c r="J301" s="43">
        <v>0</v>
      </c>
    </row>
    <row r="302" spans="1:10" ht="14.25" customHeight="1" x14ac:dyDescent="0.2">
      <c r="A302" s="133" t="s">
        <v>189</v>
      </c>
      <c r="B302" s="134"/>
      <c r="C302" s="135"/>
      <c r="D302" s="59" t="s">
        <v>109</v>
      </c>
      <c r="E302" s="43">
        <f>E303+E304</f>
        <v>12912.699999999999</v>
      </c>
      <c r="F302" s="43">
        <f t="shared" ref="F302:J302" si="190">F303+F304</f>
        <v>2526.6</v>
      </c>
      <c r="G302" s="43">
        <f t="shared" si="190"/>
        <v>2618.6</v>
      </c>
      <c r="H302" s="43">
        <f t="shared" si="190"/>
        <v>2714.2999999999997</v>
      </c>
      <c r="I302" s="43">
        <f t="shared" si="190"/>
        <v>2526.6</v>
      </c>
      <c r="J302" s="43">
        <f t="shared" si="190"/>
        <v>2526.6</v>
      </c>
    </row>
    <row r="303" spans="1:10" ht="14.25" customHeight="1" x14ac:dyDescent="0.2">
      <c r="A303" s="136"/>
      <c r="B303" s="137"/>
      <c r="C303" s="138"/>
      <c r="D303" s="59" t="s">
        <v>11</v>
      </c>
      <c r="E303" s="43">
        <f t="shared" ref="E303:E308" si="191">SUM(F303:J303)</f>
        <v>11821.699999999999</v>
      </c>
      <c r="F303" s="43">
        <f t="shared" ref="F303:J303" si="192">F280+F285+F291+F294+F297+F300</f>
        <v>2308.4</v>
      </c>
      <c r="G303" s="43">
        <f t="shared" si="192"/>
        <v>2400.4</v>
      </c>
      <c r="H303" s="43">
        <f t="shared" si="192"/>
        <v>2496.1</v>
      </c>
      <c r="I303" s="43">
        <f t="shared" si="192"/>
        <v>2308.4</v>
      </c>
      <c r="J303" s="43">
        <f t="shared" si="192"/>
        <v>2308.4</v>
      </c>
    </row>
    <row r="304" spans="1:10" ht="14.25" customHeight="1" x14ac:dyDescent="0.2">
      <c r="A304" s="139"/>
      <c r="B304" s="140"/>
      <c r="C304" s="141"/>
      <c r="D304" s="59" t="s">
        <v>10</v>
      </c>
      <c r="E304" s="43">
        <f t="shared" si="191"/>
        <v>1091</v>
      </c>
      <c r="F304" s="43">
        <f t="shared" ref="F304:J304" si="193">F301+F298+F295+F292+F286+F281</f>
        <v>218.2</v>
      </c>
      <c r="G304" s="43">
        <f t="shared" si="193"/>
        <v>218.2</v>
      </c>
      <c r="H304" s="43">
        <f t="shared" si="193"/>
        <v>218.2</v>
      </c>
      <c r="I304" s="43">
        <f t="shared" si="193"/>
        <v>218.2</v>
      </c>
      <c r="J304" s="43">
        <f t="shared" si="193"/>
        <v>218.2</v>
      </c>
    </row>
    <row r="305" spans="1:11" ht="14.25" customHeight="1" x14ac:dyDescent="0.2">
      <c r="A305" s="144" t="s">
        <v>182</v>
      </c>
      <c r="B305" s="145"/>
      <c r="C305" s="146"/>
      <c r="D305" s="59" t="s">
        <v>109</v>
      </c>
      <c r="E305" s="43">
        <f t="shared" si="191"/>
        <v>754262.94000000006</v>
      </c>
      <c r="F305" s="43">
        <f t="shared" ref="F305:J305" si="194">F306+F307+F308</f>
        <v>156221.63999999998</v>
      </c>
      <c r="G305" s="43">
        <f t="shared" si="194"/>
        <v>145595.59999999998</v>
      </c>
      <c r="H305" s="43">
        <f t="shared" si="194"/>
        <v>142744.1</v>
      </c>
      <c r="I305" s="43">
        <f t="shared" si="194"/>
        <v>154850.80000000002</v>
      </c>
      <c r="J305" s="43">
        <f t="shared" si="194"/>
        <v>154850.80000000002</v>
      </c>
    </row>
    <row r="306" spans="1:11" ht="14.25" customHeight="1" x14ac:dyDescent="0.2">
      <c r="A306" s="147"/>
      <c r="B306" s="148"/>
      <c r="C306" s="149"/>
      <c r="D306" s="59" t="s">
        <v>12</v>
      </c>
      <c r="E306" s="43">
        <f t="shared" si="191"/>
        <v>4465.5</v>
      </c>
      <c r="F306" s="43">
        <f>F121+F270</f>
        <v>686.7</v>
      </c>
      <c r="G306" s="43">
        <f t="shared" ref="G306:J306" si="195">G121+G270</f>
        <v>3778.8</v>
      </c>
      <c r="H306" s="43">
        <f t="shared" si="195"/>
        <v>0</v>
      </c>
      <c r="I306" s="43">
        <f t="shared" si="195"/>
        <v>0</v>
      </c>
      <c r="J306" s="43">
        <f t="shared" si="195"/>
        <v>0</v>
      </c>
    </row>
    <row r="307" spans="1:11" ht="14.25" customHeight="1" x14ac:dyDescent="0.2">
      <c r="A307" s="147"/>
      <c r="B307" s="148"/>
      <c r="C307" s="149"/>
      <c r="D307" s="59" t="s">
        <v>11</v>
      </c>
      <c r="E307" s="43">
        <f t="shared" si="191"/>
        <v>745189.44</v>
      </c>
      <c r="F307" s="43">
        <f>F303+F276+F268+F169+F141+F122+F74</f>
        <v>154632.63999999998</v>
      </c>
      <c r="G307" s="43">
        <f t="shared" ref="G307:J307" si="196">G303+G276+G268+G169+G141+G122+G74</f>
        <v>138765.69999999998</v>
      </c>
      <c r="H307" s="43">
        <f t="shared" si="196"/>
        <v>142525.9</v>
      </c>
      <c r="I307" s="43">
        <f t="shared" si="196"/>
        <v>154632.6</v>
      </c>
      <c r="J307" s="43">
        <f t="shared" si="196"/>
        <v>154632.6</v>
      </c>
    </row>
    <row r="308" spans="1:11" ht="14.25" customHeight="1" x14ac:dyDescent="0.2">
      <c r="A308" s="150"/>
      <c r="B308" s="151"/>
      <c r="C308" s="152"/>
      <c r="D308" s="59" t="s">
        <v>10</v>
      </c>
      <c r="E308" s="43">
        <f t="shared" si="191"/>
        <v>4608</v>
      </c>
      <c r="F308" s="43">
        <f>F304+F277+F170+F142+F123+F75+F269</f>
        <v>902.3</v>
      </c>
      <c r="G308" s="43">
        <f t="shared" ref="G308:J308" si="197">G304+G277+G170+G142+G123+G75+G269</f>
        <v>3051.1000000000004</v>
      </c>
      <c r="H308" s="43">
        <f t="shared" si="197"/>
        <v>218.2</v>
      </c>
      <c r="I308" s="43">
        <f t="shared" si="197"/>
        <v>218.2</v>
      </c>
      <c r="J308" s="43">
        <f t="shared" si="197"/>
        <v>218.2</v>
      </c>
      <c r="K308" s="46"/>
    </row>
    <row r="309" spans="1:11" ht="14.25" customHeight="1" x14ac:dyDescent="0.2">
      <c r="A309" s="144" t="s">
        <v>513</v>
      </c>
      <c r="B309" s="145"/>
      <c r="C309" s="146"/>
      <c r="D309" s="59" t="s">
        <v>109</v>
      </c>
      <c r="E309" s="43">
        <f>E310+E311+E312</f>
        <v>1644726.42</v>
      </c>
      <c r="F309" s="43"/>
      <c r="G309" s="43"/>
      <c r="H309" s="43"/>
      <c r="I309" s="54"/>
      <c r="J309" s="56"/>
    </row>
    <row r="310" spans="1:11" ht="14.25" customHeight="1" x14ac:dyDescent="0.2">
      <c r="A310" s="147"/>
      <c r="B310" s="148"/>
      <c r="C310" s="149"/>
      <c r="D310" s="59" t="s">
        <v>12</v>
      </c>
      <c r="E310" s="43">
        <f>E306+'Приложение 2-1'!E265</f>
        <v>4648.8</v>
      </c>
      <c r="F310" s="43"/>
      <c r="G310" s="43"/>
      <c r="H310" s="43"/>
      <c r="I310" s="54"/>
      <c r="J310" s="56"/>
    </row>
    <row r="311" spans="1:11" ht="14.25" customHeight="1" x14ac:dyDescent="0.2">
      <c r="A311" s="147"/>
      <c r="B311" s="148"/>
      <c r="C311" s="149"/>
      <c r="D311" s="59" t="s">
        <v>11</v>
      </c>
      <c r="E311" s="43">
        <f>E307+'Приложение 2-1'!E266</f>
        <v>1613881.99</v>
      </c>
      <c r="F311" s="43"/>
      <c r="G311" s="43"/>
      <c r="H311" s="43"/>
      <c r="I311" s="56"/>
      <c r="J311" s="56"/>
    </row>
    <row r="312" spans="1:11" ht="14.25" customHeight="1" x14ac:dyDescent="0.2">
      <c r="A312" s="150"/>
      <c r="B312" s="151"/>
      <c r="C312" s="152"/>
      <c r="D312" s="59" t="s">
        <v>10</v>
      </c>
      <c r="E312" s="43">
        <f>E308+'Приложение 2-1'!E267</f>
        <v>26195.63</v>
      </c>
      <c r="F312" s="43"/>
      <c r="G312" s="43"/>
      <c r="H312" s="43"/>
      <c r="I312" s="56"/>
      <c r="J312" s="64" t="s">
        <v>239</v>
      </c>
      <c r="K312" s="46"/>
    </row>
  </sheetData>
  <mergeCells count="255">
    <mergeCell ref="A3:J3"/>
    <mergeCell ref="A4:J4"/>
    <mergeCell ref="A309:C312"/>
    <mergeCell ref="A10:A12"/>
    <mergeCell ref="B10:B12"/>
    <mergeCell ref="C10:C12"/>
    <mergeCell ref="A13:A15"/>
    <mergeCell ref="B13:B15"/>
    <mergeCell ref="C13:C15"/>
    <mergeCell ref="A28:A30"/>
    <mergeCell ref="B28:B30"/>
    <mergeCell ref="C28:C30"/>
    <mergeCell ref="A37:A39"/>
    <mergeCell ref="B37:B39"/>
    <mergeCell ref="C37:C39"/>
    <mergeCell ref="A40:A42"/>
    <mergeCell ref="B40:B42"/>
    <mergeCell ref="C40:C42"/>
    <mergeCell ref="A31:A33"/>
    <mergeCell ref="B31:B33"/>
    <mergeCell ref="C31:C33"/>
    <mergeCell ref="A34:A36"/>
    <mergeCell ref="B34:B36"/>
    <mergeCell ref="C34:C36"/>
    <mergeCell ref="B5:H5"/>
    <mergeCell ref="A6:A7"/>
    <mergeCell ref="B6:B7"/>
    <mergeCell ref="C6:C7"/>
    <mergeCell ref="D6:D7"/>
    <mergeCell ref="E6:E7"/>
    <mergeCell ref="A25:A27"/>
    <mergeCell ref="B25:B27"/>
    <mergeCell ref="C25:C27"/>
    <mergeCell ref="A18:A20"/>
    <mergeCell ref="B18:B20"/>
    <mergeCell ref="C18:C20"/>
    <mergeCell ref="A22:A24"/>
    <mergeCell ref="B22:B24"/>
    <mergeCell ref="C22:C24"/>
    <mergeCell ref="F6:J6"/>
    <mergeCell ref="A9:J9"/>
    <mergeCell ref="C49:C51"/>
    <mergeCell ref="A52:A54"/>
    <mergeCell ref="B52:B54"/>
    <mergeCell ref="C52:C54"/>
    <mergeCell ref="A43:A45"/>
    <mergeCell ref="B43:B45"/>
    <mergeCell ref="C43:C45"/>
    <mergeCell ref="A46:A48"/>
    <mergeCell ref="B46:B48"/>
    <mergeCell ref="C46:C48"/>
    <mergeCell ref="A49:A51"/>
    <mergeCell ref="B49:B51"/>
    <mergeCell ref="A61:A63"/>
    <mergeCell ref="B61:B63"/>
    <mergeCell ref="C61:C63"/>
    <mergeCell ref="A64:A66"/>
    <mergeCell ref="B64:B66"/>
    <mergeCell ref="C64:C66"/>
    <mergeCell ref="A55:A57"/>
    <mergeCell ref="B55:B57"/>
    <mergeCell ref="C55:C57"/>
    <mergeCell ref="A58:A60"/>
    <mergeCell ref="B58:B60"/>
    <mergeCell ref="C58:C60"/>
    <mergeCell ref="A73:C75"/>
    <mergeCell ref="A77:A80"/>
    <mergeCell ref="B77:B80"/>
    <mergeCell ref="C77:C80"/>
    <mergeCell ref="A81:A83"/>
    <mergeCell ref="B81:B83"/>
    <mergeCell ref="C81:C83"/>
    <mergeCell ref="A67:A69"/>
    <mergeCell ref="B67:B69"/>
    <mergeCell ref="C67:C69"/>
    <mergeCell ref="A70:A72"/>
    <mergeCell ref="B70:B72"/>
    <mergeCell ref="C70:C72"/>
    <mergeCell ref="A76:J76"/>
    <mergeCell ref="A91:A93"/>
    <mergeCell ref="B91:B93"/>
    <mergeCell ref="C91:C93"/>
    <mergeCell ref="A94:A96"/>
    <mergeCell ref="B94:B96"/>
    <mergeCell ref="C94:C96"/>
    <mergeCell ref="A85:A87"/>
    <mergeCell ref="B85:B87"/>
    <mergeCell ref="C85:C87"/>
    <mergeCell ref="A88:A90"/>
    <mergeCell ref="B88:B90"/>
    <mergeCell ref="C88:C90"/>
    <mergeCell ref="A103:A105"/>
    <mergeCell ref="B103:B105"/>
    <mergeCell ref="C103:C105"/>
    <mergeCell ref="A106:A108"/>
    <mergeCell ref="B106:B108"/>
    <mergeCell ref="C106:C108"/>
    <mergeCell ref="A100:A102"/>
    <mergeCell ref="B100:B102"/>
    <mergeCell ref="C100:C102"/>
    <mergeCell ref="A117:A119"/>
    <mergeCell ref="B117:B119"/>
    <mergeCell ref="C117:C119"/>
    <mergeCell ref="A120:C123"/>
    <mergeCell ref="A125:A127"/>
    <mergeCell ref="B125:B127"/>
    <mergeCell ref="C125:C127"/>
    <mergeCell ref="A109:A112"/>
    <mergeCell ref="B109:B112"/>
    <mergeCell ref="C109:C112"/>
    <mergeCell ref="A113:A116"/>
    <mergeCell ref="B113:B116"/>
    <mergeCell ref="C113:C116"/>
    <mergeCell ref="A124:J124"/>
    <mergeCell ref="A134:A136"/>
    <mergeCell ref="B134:B136"/>
    <mergeCell ref="C134:C136"/>
    <mergeCell ref="A137:A139"/>
    <mergeCell ref="B137:B139"/>
    <mergeCell ref="C137:C139"/>
    <mergeCell ref="A128:A130"/>
    <mergeCell ref="B128:B130"/>
    <mergeCell ref="C128:C130"/>
    <mergeCell ref="A131:A133"/>
    <mergeCell ref="B131:B133"/>
    <mergeCell ref="C131:C133"/>
    <mergeCell ref="A150:A152"/>
    <mergeCell ref="B150:B152"/>
    <mergeCell ref="C150:C152"/>
    <mergeCell ref="A153:A155"/>
    <mergeCell ref="B153:B155"/>
    <mergeCell ref="C153:C155"/>
    <mergeCell ref="A140:C142"/>
    <mergeCell ref="A144:A146"/>
    <mergeCell ref="B144:B146"/>
    <mergeCell ref="C144:C146"/>
    <mergeCell ref="A147:A149"/>
    <mergeCell ref="B147:B149"/>
    <mergeCell ref="C147:C149"/>
    <mergeCell ref="A143:J143"/>
    <mergeCell ref="A162:A164"/>
    <mergeCell ref="B162:B164"/>
    <mergeCell ref="C162:C164"/>
    <mergeCell ref="A165:A167"/>
    <mergeCell ref="B165:B167"/>
    <mergeCell ref="C165:C167"/>
    <mergeCell ref="A156:A158"/>
    <mergeCell ref="B156:B158"/>
    <mergeCell ref="C156:C158"/>
    <mergeCell ref="A159:A161"/>
    <mergeCell ref="B159:B161"/>
    <mergeCell ref="C159:C161"/>
    <mergeCell ref="A190:A192"/>
    <mergeCell ref="B190:B192"/>
    <mergeCell ref="C190:C204"/>
    <mergeCell ref="A193:A195"/>
    <mergeCell ref="B193:B195"/>
    <mergeCell ref="A196:A198"/>
    <mergeCell ref="B196:B198"/>
    <mergeCell ref="A199:A201"/>
    <mergeCell ref="B199:B201"/>
    <mergeCell ref="A202:A204"/>
    <mergeCell ref="B202:B204"/>
    <mergeCell ref="A168:C170"/>
    <mergeCell ref="B175:B177"/>
    <mergeCell ref="A175:A177"/>
    <mergeCell ref="B178:B180"/>
    <mergeCell ref="A178:A180"/>
    <mergeCell ref="B181:B183"/>
    <mergeCell ref="B184:B186"/>
    <mergeCell ref="B187:B189"/>
    <mergeCell ref="A181:A183"/>
    <mergeCell ref="A184:A186"/>
    <mergeCell ref="A187:A189"/>
    <mergeCell ref="C175:C189"/>
    <mergeCell ref="A275:C277"/>
    <mergeCell ref="A279:A281"/>
    <mergeCell ref="B279:B281"/>
    <mergeCell ref="C279:C281"/>
    <mergeCell ref="A284:A286"/>
    <mergeCell ref="B284:B286"/>
    <mergeCell ref="C284:C286"/>
    <mergeCell ref="A267:C270"/>
    <mergeCell ref="A272:A274"/>
    <mergeCell ref="B272:B274"/>
    <mergeCell ref="C272:C274"/>
    <mergeCell ref="A302:C304"/>
    <mergeCell ref="A305:C308"/>
    <mergeCell ref="A296:A298"/>
    <mergeCell ref="B296:B298"/>
    <mergeCell ref="C296:C298"/>
    <mergeCell ref="A299:A301"/>
    <mergeCell ref="B299:B301"/>
    <mergeCell ref="C299:C301"/>
    <mergeCell ref="A290:A292"/>
    <mergeCell ref="B290:B292"/>
    <mergeCell ref="C290:C292"/>
    <mergeCell ref="A293:A295"/>
    <mergeCell ref="B293:B295"/>
    <mergeCell ref="C293:C295"/>
    <mergeCell ref="A205:A207"/>
    <mergeCell ref="B205:B207"/>
    <mergeCell ref="C205:C219"/>
    <mergeCell ref="A208:A210"/>
    <mergeCell ref="B208:B210"/>
    <mergeCell ref="A211:A213"/>
    <mergeCell ref="B211:B213"/>
    <mergeCell ref="A214:A216"/>
    <mergeCell ref="B214:B216"/>
    <mergeCell ref="A217:A219"/>
    <mergeCell ref="B217:B219"/>
    <mergeCell ref="A220:A223"/>
    <mergeCell ref="B220:B223"/>
    <mergeCell ref="C220:C236"/>
    <mergeCell ref="A224:A226"/>
    <mergeCell ref="B224:B226"/>
    <mergeCell ref="A227:A229"/>
    <mergeCell ref="B227:B229"/>
    <mergeCell ref="A230:A232"/>
    <mergeCell ref="B230:B232"/>
    <mergeCell ref="A233:A236"/>
    <mergeCell ref="B233:B236"/>
    <mergeCell ref="C237:C251"/>
    <mergeCell ref="A240:A242"/>
    <mergeCell ref="B240:B242"/>
    <mergeCell ref="A243:A245"/>
    <mergeCell ref="B243:B245"/>
    <mergeCell ref="A246:A248"/>
    <mergeCell ref="B246:B248"/>
    <mergeCell ref="A249:A251"/>
    <mergeCell ref="B249:B251"/>
    <mergeCell ref="D1:J1"/>
    <mergeCell ref="D2:J2"/>
    <mergeCell ref="A171:J171"/>
    <mergeCell ref="A271:J271"/>
    <mergeCell ref="A278:J278"/>
    <mergeCell ref="C97:C99"/>
    <mergeCell ref="B97:B99"/>
    <mergeCell ref="A97:A99"/>
    <mergeCell ref="A172:A174"/>
    <mergeCell ref="C172:C174"/>
    <mergeCell ref="B172:B174"/>
    <mergeCell ref="A252:A254"/>
    <mergeCell ref="B252:B254"/>
    <mergeCell ref="C252:C266"/>
    <mergeCell ref="A255:A257"/>
    <mergeCell ref="B255:B257"/>
    <mergeCell ref="A258:A260"/>
    <mergeCell ref="B258:B260"/>
    <mergeCell ref="A261:A263"/>
    <mergeCell ref="B261:B263"/>
    <mergeCell ref="A264:A266"/>
    <mergeCell ref="B264:B266"/>
    <mergeCell ref="A237:A239"/>
    <mergeCell ref="B237:B239"/>
  </mergeCells>
  <pageMargins left="0.25" right="0.25" top="0.75" bottom="0.75" header="0.3" footer="0.3"/>
  <pageSetup paperSize="9" scale="83" fitToHeight="0" orientation="landscape" r:id="rId1"/>
  <headerFooter differentFirst="1">
    <oddHeader>&amp;C&amp;P</oddHeader>
  </headerFooter>
  <rowBreaks count="8" manualBreakCount="8">
    <brk id="17" max="9" man="1"/>
    <brk id="45" max="9" man="1"/>
    <brk id="66" max="9" man="1"/>
    <brk id="90" max="9" man="1"/>
    <brk id="126" max="9" man="1"/>
    <brk id="153" max="9" man="1"/>
    <brk id="190" max="9" man="1"/>
    <brk id="223" max="9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Приложение 1</vt:lpstr>
      <vt:lpstr>Приложение 1-1</vt:lpstr>
      <vt:lpstr>Приложение 2-2</vt:lpstr>
      <vt:lpstr>Приложение 2-1</vt:lpstr>
      <vt:lpstr>Приложение 3-2</vt:lpstr>
      <vt:lpstr>'Приложение 2-1'!Заголовки_для_печати</vt:lpstr>
      <vt:lpstr>'Приложение 3-2'!Заголовки_для_печати</vt:lpstr>
      <vt:lpstr>'Приложение 1'!Область_печати</vt:lpstr>
      <vt:lpstr>'Приложение 1-1'!Область_печати</vt:lpstr>
      <vt:lpstr>'Приложение 2-1'!Область_печати</vt:lpstr>
      <vt:lpstr>'Приложение 2-2'!Область_печати</vt:lpstr>
      <vt:lpstr>'Приложение 3-2'!Область_печати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Елена П. Низова</cp:lastModifiedBy>
  <cp:lastPrinted>2023-07-24T04:37:50Z</cp:lastPrinted>
  <dcterms:created xsi:type="dcterms:W3CDTF">2018-08-26T22:36:00Z</dcterms:created>
  <dcterms:modified xsi:type="dcterms:W3CDTF">2023-07-24T04:41:02Z</dcterms:modified>
</cp:coreProperties>
</file>