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omments4.xml" ContentType="application/vnd.openxmlformats-officedocument.spreadsheetml.comment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8695" windowHeight="12525"/>
  </bookViews>
  <sheets>
    <sheet name="школы 2020 кМЗ" sheetId="38" r:id="rId1"/>
    <sheet name="Дсады 2020 к МЗ" sheetId="40" r:id="rId2"/>
    <sheet name="культура 2020К мз" sheetId="41" r:id="rId3"/>
    <sheet name="доп.обр.2020 к МЗ" sheetId="42" r:id="rId4"/>
  </sheets>
  <calcPr calcId="124519"/>
</workbook>
</file>

<file path=xl/calcChain.xml><?xml version="1.0" encoding="utf-8"?>
<calcChain xmlns="http://schemas.openxmlformats.org/spreadsheetml/2006/main">
  <c r="J138" i="42"/>
  <c r="J114"/>
  <c r="N262" i="38"/>
  <c r="M262"/>
  <c r="N238"/>
  <c r="J168"/>
  <c r="N118"/>
  <c r="M118"/>
  <c r="L118"/>
  <c r="L70"/>
  <c r="K118"/>
  <c r="J118"/>
  <c r="N95"/>
  <c r="K95"/>
  <c r="J95"/>
  <c r="N70"/>
  <c r="M70"/>
  <c r="K70"/>
  <c r="J70"/>
  <c r="N45"/>
  <c r="M45"/>
  <c r="L45"/>
  <c r="K45"/>
  <c r="J45"/>
  <c r="Z21"/>
  <c r="V21"/>
  <c r="R21"/>
  <c r="N21"/>
  <c r="F132" i="41"/>
  <c r="O123"/>
  <c r="N123"/>
  <c r="M123"/>
  <c r="L123"/>
  <c r="K123"/>
  <c r="J123"/>
  <c r="F129"/>
  <c r="K150" i="42"/>
  <c r="M150" s="1"/>
  <c r="L34"/>
  <c r="L43"/>
  <c r="L41"/>
  <c r="L39"/>
  <c r="L38"/>
  <c r="L37"/>
  <c r="L33"/>
  <c r="L32"/>
  <c r="L35"/>
  <c r="L31"/>
  <c r="L46"/>
  <c r="K33"/>
  <c r="K46"/>
  <c r="K43"/>
  <c r="K38"/>
  <c r="K37"/>
  <c r="M37" s="1"/>
  <c r="K32"/>
  <c r="K35"/>
  <c r="K31"/>
  <c r="J35"/>
  <c r="J80"/>
  <c r="J136"/>
  <c r="J133"/>
  <c r="J132"/>
  <c r="J131"/>
  <c r="J130"/>
  <c r="J126"/>
  <c r="J125"/>
  <c r="J128"/>
  <c r="J124"/>
  <c r="J112"/>
  <c r="J109"/>
  <c r="J108"/>
  <c r="M108" s="1"/>
  <c r="J107"/>
  <c r="J106"/>
  <c r="J84"/>
  <c r="J102"/>
  <c r="J101"/>
  <c r="J104"/>
  <c r="J100"/>
  <c r="J90"/>
  <c r="J87"/>
  <c r="M87" s="1"/>
  <c r="J86"/>
  <c r="M86" s="1"/>
  <c r="M80"/>
  <c r="J79"/>
  <c r="J82"/>
  <c r="J54"/>
  <c r="J53" s="1"/>
  <c r="J66"/>
  <c r="J63"/>
  <c r="M63" s="1"/>
  <c r="J62"/>
  <c r="M62" s="1"/>
  <c r="J61"/>
  <c r="J60"/>
  <c r="J56"/>
  <c r="J55"/>
  <c r="M55" s="1"/>
  <c r="J33"/>
  <c r="M33" s="1"/>
  <c r="J43"/>
  <c r="J40"/>
  <c r="J39"/>
  <c r="J38"/>
  <c r="J37"/>
  <c r="J30"/>
  <c r="J32"/>
  <c r="J31"/>
  <c r="M39"/>
  <c r="R16"/>
  <c r="R12"/>
  <c r="R6"/>
  <c r="N12"/>
  <c r="S12" s="1"/>
  <c r="N6"/>
  <c r="J18"/>
  <c r="S18" s="1"/>
  <c r="J12"/>
  <c r="M164"/>
  <c r="M163"/>
  <c r="M162"/>
  <c r="M161"/>
  <c r="M160"/>
  <c r="M159"/>
  <c r="M158"/>
  <c r="M157"/>
  <c r="M156"/>
  <c r="M155"/>
  <c r="M154"/>
  <c r="L153"/>
  <c r="K153"/>
  <c r="J153"/>
  <c r="J165" s="1"/>
  <c r="M152"/>
  <c r="L152"/>
  <c r="M151"/>
  <c r="L149"/>
  <c r="L165" s="1"/>
  <c r="J149"/>
  <c r="M135"/>
  <c r="M134"/>
  <c r="M133"/>
  <c r="M132"/>
  <c r="M131"/>
  <c r="J129"/>
  <c r="M126"/>
  <c r="M125"/>
  <c r="J123"/>
  <c r="M111"/>
  <c r="M110"/>
  <c r="M109"/>
  <c r="M102"/>
  <c r="M101"/>
  <c r="M89"/>
  <c r="M88"/>
  <c r="M85"/>
  <c r="M79"/>
  <c r="J77"/>
  <c r="M65"/>
  <c r="M64"/>
  <c r="M61"/>
  <c r="M58"/>
  <c r="J58"/>
  <c r="M56"/>
  <c r="L42"/>
  <c r="K42"/>
  <c r="M42" s="1"/>
  <c r="L40"/>
  <c r="K40"/>
  <c r="S19"/>
  <c r="S16"/>
  <c r="S15"/>
  <c r="S14"/>
  <c r="S13"/>
  <c r="R20"/>
  <c r="R21" s="1"/>
  <c r="S11"/>
  <c r="G11"/>
  <c r="S10"/>
  <c r="S9"/>
  <c r="S8"/>
  <c r="S7"/>
  <c r="S6"/>
  <c r="F130" i="41"/>
  <c r="N122"/>
  <c r="M122"/>
  <c r="M121"/>
  <c r="N121"/>
  <c r="O121"/>
  <c r="O107"/>
  <c r="N107"/>
  <c r="M107"/>
  <c r="J89"/>
  <c r="J56"/>
  <c r="J86"/>
  <c r="J84"/>
  <c r="J82" s="1"/>
  <c r="J83"/>
  <c r="J79"/>
  <c r="J78"/>
  <c r="J66"/>
  <c r="K69"/>
  <c r="J63"/>
  <c r="J61"/>
  <c r="J60"/>
  <c r="J59" s="1"/>
  <c r="J55"/>
  <c r="Z14"/>
  <c r="O110"/>
  <c r="N110"/>
  <c r="L110"/>
  <c r="K110"/>
  <c r="J110"/>
  <c r="K111"/>
  <c r="L111"/>
  <c r="L109"/>
  <c r="K109"/>
  <c r="J109"/>
  <c r="M109" s="1"/>
  <c r="L108"/>
  <c r="K108"/>
  <c r="M108"/>
  <c r="L107"/>
  <c r="J107"/>
  <c r="L43"/>
  <c r="L32"/>
  <c r="L40"/>
  <c r="L38"/>
  <c r="L36" s="1"/>
  <c r="L34" s="1"/>
  <c r="L37"/>
  <c r="M37" s="1"/>
  <c r="L33"/>
  <c r="L30"/>
  <c r="L47"/>
  <c r="K43"/>
  <c r="K47"/>
  <c r="K40"/>
  <c r="K38"/>
  <c r="K37"/>
  <c r="M7"/>
  <c r="M17" s="1"/>
  <c r="M22" s="1"/>
  <c r="K33"/>
  <c r="K32"/>
  <c r="J43"/>
  <c r="J47"/>
  <c r="J40"/>
  <c r="M40" s="1"/>
  <c r="J38"/>
  <c r="J36" s="1"/>
  <c r="J37"/>
  <c r="J33"/>
  <c r="J32"/>
  <c r="Y10"/>
  <c r="U10"/>
  <c r="Q10"/>
  <c r="Q19" s="1"/>
  <c r="M10"/>
  <c r="I10"/>
  <c r="I19" s="1"/>
  <c r="J87"/>
  <c r="J81"/>
  <c r="J77"/>
  <c r="J58"/>
  <c r="J54"/>
  <c r="K42"/>
  <c r="M42" s="1"/>
  <c r="M41"/>
  <c r="J64" s="1"/>
  <c r="M39"/>
  <c r="L35"/>
  <c r="K35"/>
  <c r="J35"/>
  <c r="M35" s="1"/>
  <c r="L31"/>
  <c r="K31"/>
  <c r="J31"/>
  <c r="M31" s="1"/>
  <c r="Q20"/>
  <c r="M20"/>
  <c r="I20"/>
  <c r="Q18"/>
  <c r="M18"/>
  <c r="I18"/>
  <c r="U17"/>
  <c r="U19" s="1"/>
  <c r="K14"/>
  <c r="G14"/>
  <c r="G12"/>
  <c r="K11"/>
  <c r="G11"/>
  <c r="Y17"/>
  <c r="K10"/>
  <c r="G10"/>
  <c r="O9"/>
  <c r="K9"/>
  <c r="G9"/>
  <c r="K8"/>
  <c r="G8"/>
  <c r="K5"/>
  <c r="G5"/>
  <c r="W4"/>
  <c r="S4"/>
  <c r="K4"/>
  <c r="G4"/>
  <c r="N54" i="40"/>
  <c r="N64"/>
  <c r="N58"/>
  <c r="N57"/>
  <c r="N56"/>
  <c r="N52"/>
  <c r="N51"/>
  <c r="N41"/>
  <c r="N35"/>
  <c r="N34"/>
  <c r="N33"/>
  <c r="N29"/>
  <c r="N28"/>
  <c r="M64"/>
  <c r="M54"/>
  <c r="M58"/>
  <c r="M57"/>
  <c r="M56"/>
  <c r="M52"/>
  <c r="M51"/>
  <c r="M41"/>
  <c r="M35"/>
  <c r="M34"/>
  <c r="M33"/>
  <c r="M29"/>
  <c r="M28"/>
  <c r="L64"/>
  <c r="L57"/>
  <c r="L56"/>
  <c r="L52"/>
  <c r="L51"/>
  <c r="L41"/>
  <c r="L31"/>
  <c r="L34"/>
  <c r="L33"/>
  <c r="L29"/>
  <c r="L28"/>
  <c r="K54"/>
  <c r="K64"/>
  <c r="K58"/>
  <c r="K57"/>
  <c r="K56"/>
  <c r="K52"/>
  <c r="K51"/>
  <c r="K41"/>
  <c r="K35"/>
  <c r="K34"/>
  <c r="K33"/>
  <c r="K29"/>
  <c r="K28"/>
  <c r="J64"/>
  <c r="J51"/>
  <c r="J52"/>
  <c r="J57"/>
  <c r="J58"/>
  <c r="J56"/>
  <c r="J41"/>
  <c r="J35"/>
  <c r="J34"/>
  <c r="J33"/>
  <c r="J29"/>
  <c r="J28"/>
  <c r="Z9"/>
  <c r="V9"/>
  <c r="R9"/>
  <c r="N9"/>
  <c r="J9"/>
  <c r="K149" i="42" l="1"/>
  <c r="M149" s="1"/>
  <c r="L36"/>
  <c r="M38"/>
  <c r="K36"/>
  <c r="M32"/>
  <c r="K30"/>
  <c r="J105"/>
  <c r="M105" s="1"/>
  <c r="M107"/>
  <c r="J99"/>
  <c r="M99" s="1"/>
  <c r="J83"/>
  <c r="M83" s="1"/>
  <c r="M84"/>
  <c r="M54"/>
  <c r="J59"/>
  <c r="M66" s="1"/>
  <c r="M60"/>
  <c r="M40"/>
  <c r="J36"/>
  <c r="R23"/>
  <c r="J20"/>
  <c r="J21" s="1"/>
  <c r="M82"/>
  <c r="M78"/>
  <c r="M77"/>
  <c r="M123"/>
  <c r="M53"/>
  <c r="M129"/>
  <c r="M136"/>
  <c r="N20"/>
  <c r="N21" s="1"/>
  <c r="M100"/>
  <c r="M104"/>
  <c r="M106"/>
  <c r="M124"/>
  <c r="M128"/>
  <c r="M130"/>
  <c r="M153"/>
  <c r="J80" i="41"/>
  <c r="J76"/>
  <c r="J53"/>
  <c r="K107"/>
  <c r="L121"/>
  <c r="L122" s="1"/>
  <c r="K121"/>
  <c r="K122" s="1"/>
  <c r="M38"/>
  <c r="L44"/>
  <c r="K36"/>
  <c r="M43" s="1"/>
  <c r="K30"/>
  <c r="M30" s="1"/>
  <c r="M33"/>
  <c r="M32"/>
  <c r="J30"/>
  <c r="Q17"/>
  <c r="J57"/>
  <c r="J67" s="1"/>
  <c r="J34"/>
  <c r="M19"/>
  <c r="I17"/>
  <c r="I22" s="1"/>
  <c r="U18"/>
  <c r="K165" i="42" l="1"/>
  <c r="M165"/>
  <c r="M43"/>
  <c r="K34"/>
  <c r="K44" s="1"/>
  <c r="K47" s="1"/>
  <c r="M112"/>
  <c r="J103"/>
  <c r="M103" s="1"/>
  <c r="M90"/>
  <c r="M59"/>
  <c r="J57"/>
  <c r="M57" s="1"/>
  <c r="M36"/>
  <c r="S21"/>
  <c r="J34"/>
  <c r="M35"/>
  <c r="J127"/>
  <c r="J67"/>
  <c r="S20"/>
  <c r="J90" i="41"/>
  <c r="J68"/>
  <c r="K70"/>
  <c r="L45"/>
  <c r="M36"/>
  <c r="M34"/>
  <c r="K34"/>
  <c r="K44"/>
  <c r="J44"/>
  <c r="K45" i="42" l="1"/>
  <c r="K140"/>
  <c r="K141" s="1"/>
  <c r="J113"/>
  <c r="J81"/>
  <c r="M81" s="1"/>
  <c r="M67"/>
  <c r="J68"/>
  <c r="M113"/>
  <c r="M127"/>
  <c r="J137"/>
  <c r="M34"/>
  <c r="J44"/>
  <c r="J91" i="41"/>
  <c r="M111"/>
  <c r="J121"/>
  <c r="K45"/>
  <c r="J45"/>
  <c r="M44"/>
  <c r="K166" i="42" l="1"/>
  <c r="J91"/>
  <c r="J45"/>
  <c r="M137"/>
  <c r="J122" i="41"/>
  <c r="J92" i="42" l="1"/>
  <c r="I93"/>
  <c r="J140"/>
  <c r="J166" s="1"/>
  <c r="M91"/>
  <c r="J141" l="1"/>
  <c r="O62" i="40" l="1"/>
  <c r="N62"/>
  <c r="J62"/>
  <c r="N61"/>
  <c r="M61"/>
  <c r="L61"/>
  <c r="K61"/>
  <c r="J61"/>
  <c r="O61" s="1"/>
  <c r="O60"/>
  <c r="O59"/>
  <c r="N55"/>
  <c r="O58"/>
  <c r="O57"/>
  <c r="M55"/>
  <c r="M63" s="1"/>
  <c r="L55"/>
  <c r="L63" s="1"/>
  <c r="O56"/>
  <c r="K55"/>
  <c r="J55"/>
  <c r="O52"/>
  <c r="N50"/>
  <c r="M50"/>
  <c r="L48"/>
  <c r="J50"/>
  <c r="L50"/>
  <c r="K50"/>
  <c r="O49"/>
  <c r="K48"/>
  <c r="N39"/>
  <c r="K39"/>
  <c r="J39"/>
  <c r="J38" s="1"/>
  <c r="O38" s="1"/>
  <c r="N38"/>
  <c r="M38"/>
  <c r="L38"/>
  <c r="K38"/>
  <c r="O37"/>
  <c r="O36"/>
  <c r="O35"/>
  <c r="O34"/>
  <c r="N32"/>
  <c r="N40" s="1"/>
  <c r="K32"/>
  <c r="K40" s="1"/>
  <c r="J32"/>
  <c r="M32"/>
  <c r="M40" s="1"/>
  <c r="L32"/>
  <c r="L40" s="1"/>
  <c r="O29"/>
  <c r="M27"/>
  <c r="M25" s="1"/>
  <c r="L25"/>
  <c r="O28"/>
  <c r="N27"/>
  <c r="N25" s="1"/>
  <c r="L27"/>
  <c r="K27"/>
  <c r="J27"/>
  <c r="J25" s="1"/>
  <c r="O26"/>
  <c r="R18"/>
  <c r="R19" s="1"/>
  <c r="AA17"/>
  <c r="AA16"/>
  <c r="N16"/>
  <c r="J16"/>
  <c r="AA15"/>
  <c r="AA14"/>
  <c r="AA13"/>
  <c r="AA12"/>
  <c r="AA11"/>
  <c r="T11"/>
  <c r="L11"/>
  <c r="H11"/>
  <c r="AA10"/>
  <c r="T10"/>
  <c r="L10"/>
  <c r="AA9"/>
  <c r="AA8"/>
  <c r="AA7"/>
  <c r="X7"/>
  <c r="W7"/>
  <c r="N31" s="1"/>
  <c r="S7"/>
  <c r="T5" s="1"/>
  <c r="O7"/>
  <c r="K7"/>
  <c r="L9" s="1"/>
  <c r="G7"/>
  <c r="H10" s="1"/>
  <c r="AA6"/>
  <c r="Z5"/>
  <c r="Z18" s="1"/>
  <c r="Z19" s="1"/>
  <c r="X5"/>
  <c r="V5"/>
  <c r="V18" s="1"/>
  <c r="V19" s="1"/>
  <c r="R5"/>
  <c r="N5"/>
  <c r="N18" s="1"/>
  <c r="J5"/>
  <c r="J18" s="1"/>
  <c r="M260" i="38"/>
  <c r="M254"/>
  <c r="M253"/>
  <c r="M252"/>
  <c r="M248"/>
  <c r="M247"/>
  <c r="M116"/>
  <c r="M110"/>
  <c r="M109"/>
  <c r="M108"/>
  <c r="M104"/>
  <c r="M103"/>
  <c r="M56"/>
  <c r="M55"/>
  <c r="M68"/>
  <c r="M62"/>
  <c r="M61"/>
  <c r="M60"/>
  <c r="M30"/>
  <c r="S12"/>
  <c r="M35" s="1"/>
  <c r="N248"/>
  <c r="N247"/>
  <c r="N260"/>
  <c r="N254"/>
  <c r="N253"/>
  <c r="N252"/>
  <c r="N223"/>
  <c r="N224"/>
  <c r="N236"/>
  <c r="N230"/>
  <c r="N229"/>
  <c r="N228"/>
  <c r="N197"/>
  <c r="N212"/>
  <c r="N177"/>
  <c r="N109"/>
  <c r="N104"/>
  <c r="N103"/>
  <c r="N108"/>
  <c r="N93"/>
  <c r="N87"/>
  <c r="N86"/>
  <c r="N85"/>
  <c r="N81"/>
  <c r="N80"/>
  <c r="N55"/>
  <c r="N68"/>
  <c r="N56"/>
  <c r="N54"/>
  <c r="N62"/>
  <c r="N61"/>
  <c r="N60"/>
  <c r="N43"/>
  <c r="N37"/>
  <c r="N36"/>
  <c r="N35"/>
  <c r="N31"/>
  <c r="N30"/>
  <c r="L210"/>
  <c r="L197"/>
  <c r="L177"/>
  <c r="L116"/>
  <c r="L109"/>
  <c r="L108"/>
  <c r="L104"/>
  <c r="L103"/>
  <c r="L56"/>
  <c r="L55"/>
  <c r="L68"/>
  <c r="L62"/>
  <c r="L60"/>
  <c r="L61"/>
  <c r="L43"/>
  <c r="L37"/>
  <c r="O9"/>
  <c r="L31" s="1"/>
  <c r="L30"/>
  <c r="K197"/>
  <c r="K177"/>
  <c r="K116"/>
  <c r="K104"/>
  <c r="K103"/>
  <c r="K93"/>
  <c r="K81"/>
  <c r="K80"/>
  <c r="K68"/>
  <c r="K56"/>
  <c r="N30" i="40" l="1"/>
  <c r="O50"/>
  <c r="L30"/>
  <c r="L42" s="1"/>
  <c r="L43" s="1"/>
  <c r="L54"/>
  <c r="L53" s="1"/>
  <c r="L65" s="1"/>
  <c r="L66" s="1"/>
  <c r="P7"/>
  <c r="N19"/>
  <c r="H7"/>
  <c r="H5"/>
  <c r="J31"/>
  <c r="H9"/>
  <c r="J54"/>
  <c r="J63"/>
  <c r="AA18"/>
  <c r="J19"/>
  <c r="O32"/>
  <c r="N63"/>
  <c r="N53" s="1"/>
  <c r="N42"/>
  <c r="O27"/>
  <c r="K53"/>
  <c r="K65" s="1"/>
  <c r="K66" s="1"/>
  <c r="O55"/>
  <c r="O33"/>
  <c r="K63"/>
  <c r="L5"/>
  <c r="AA5"/>
  <c r="O39"/>
  <c r="N48"/>
  <c r="M31"/>
  <c r="M30" s="1"/>
  <c r="M42" s="1"/>
  <c r="M48"/>
  <c r="P5"/>
  <c r="L7"/>
  <c r="T7"/>
  <c r="K25"/>
  <c r="O51"/>
  <c r="M53"/>
  <c r="K31"/>
  <c r="J48"/>
  <c r="M31" i="38"/>
  <c r="M37"/>
  <c r="M36"/>
  <c r="L35"/>
  <c r="L36"/>
  <c r="M65" i="40" l="1"/>
  <c r="M66" s="1"/>
  <c r="O48"/>
  <c r="J53"/>
  <c r="O53" s="1"/>
  <c r="O63"/>
  <c r="M43"/>
  <c r="O41"/>
  <c r="J40"/>
  <c r="N43"/>
  <c r="K30"/>
  <c r="K42" s="1"/>
  <c r="O31"/>
  <c r="N65"/>
  <c r="N66" s="1"/>
  <c r="O54"/>
  <c r="O25"/>
  <c r="L67"/>
  <c r="O64"/>
  <c r="J260" i="38"/>
  <c r="J254"/>
  <c r="J253"/>
  <c r="J252"/>
  <c r="J199"/>
  <c r="J166"/>
  <c r="J160"/>
  <c r="J159"/>
  <c r="J158"/>
  <c r="J116"/>
  <c r="J110"/>
  <c r="J109"/>
  <c r="J108"/>
  <c r="J93"/>
  <c r="J87"/>
  <c r="J86"/>
  <c r="J85"/>
  <c r="J81"/>
  <c r="J80"/>
  <c r="J68"/>
  <c r="J62"/>
  <c r="J61"/>
  <c r="J60"/>
  <c r="J43"/>
  <c r="R33"/>
  <c r="R30"/>
  <c r="M67" i="40" l="1"/>
  <c r="K67"/>
  <c r="K43"/>
  <c r="O40"/>
  <c r="J30"/>
  <c r="N67"/>
  <c r="J65"/>
  <c r="T24" i="38"/>
  <c r="R24"/>
  <c r="S24"/>
  <c r="J37"/>
  <c r="J36"/>
  <c r="J35"/>
  <c r="J8"/>
  <c r="K266"/>
  <c r="N259"/>
  <c r="L259"/>
  <c r="L249" s="1"/>
  <c r="K259"/>
  <c r="N258"/>
  <c r="N257"/>
  <c r="L257"/>
  <c r="K257"/>
  <c r="O256"/>
  <c r="O255"/>
  <c r="N251"/>
  <c r="N249" s="1"/>
  <c r="L251"/>
  <c r="K251"/>
  <c r="K249" s="1"/>
  <c r="K261" s="1"/>
  <c r="K262" s="1"/>
  <c r="O250"/>
  <c r="N250"/>
  <c r="L246"/>
  <c r="K246"/>
  <c r="O245"/>
  <c r="L244"/>
  <c r="K244"/>
  <c r="K237"/>
  <c r="N235"/>
  <c r="L235"/>
  <c r="K235"/>
  <c r="K225" s="1"/>
  <c r="J235"/>
  <c r="N234"/>
  <c r="N233" s="1"/>
  <c r="L233"/>
  <c r="L225" s="1"/>
  <c r="K233"/>
  <c r="J233"/>
  <c r="O232"/>
  <c r="O231"/>
  <c r="N227"/>
  <c r="L227"/>
  <c r="K227"/>
  <c r="J227"/>
  <c r="O226"/>
  <c r="L222"/>
  <c r="L220" s="1"/>
  <c r="K222"/>
  <c r="J222"/>
  <c r="O221"/>
  <c r="K220"/>
  <c r="J220"/>
  <c r="O212"/>
  <c r="N211"/>
  <c r="M211"/>
  <c r="L211"/>
  <c r="K211"/>
  <c r="J211"/>
  <c r="O210"/>
  <c r="N209"/>
  <c r="M209"/>
  <c r="L209"/>
  <c r="L201" s="1"/>
  <c r="K209"/>
  <c r="O209" s="1"/>
  <c r="J209"/>
  <c r="O208"/>
  <c r="O207"/>
  <c r="O206"/>
  <c r="O205"/>
  <c r="O204"/>
  <c r="N203"/>
  <c r="M203"/>
  <c r="L203"/>
  <c r="K203"/>
  <c r="O203" s="1"/>
  <c r="J203"/>
  <c r="O202"/>
  <c r="J202"/>
  <c r="N201"/>
  <c r="M201"/>
  <c r="K201"/>
  <c r="J201"/>
  <c r="N200"/>
  <c r="M200"/>
  <c r="L200"/>
  <c r="O200" s="1"/>
  <c r="O199"/>
  <c r="M198"/>
  <c r="M196" s="1"/>
  <c r="M213" s="1"/>
  <c r="L198"/>
  <c r="J198"/>
  <c r="N196"/>
  <c r="N213" s="1"/>
  <c r="J197"/>
  <c r="J196" s="1"/>
  <c r="J213" s="1"/>
  <c r="K196"/>
  <c r="O189"/>
  <c r="N188"/>
  <c r="M188"/>
  <c r="L188"/>
  <c r="K188"/>
  <c r="J188"/>
  <c r="O187"/>
  <c r="N186"/>
  <c r="M186"/>
  <c r="L186"/>
  <c r="L178" s="1"/>
  <c r="K186"/>
  <c r="O186" s="1"/>
  <c r="J186"/>
  <c r="O185"/>
  <c r="O184"/>
  <c r="O183"/>
  <c r="O182"/>
  <c r="O181"/>
  <c r="N180"/>
  <c r="N178" s="1"/>
  <c r="M180"/>
  <c r="L180"/>
  <c r="K180"/>
  <c r="K178" s="1"/>
  <c r="J180"/>
  <c r="O179"/>
  <c r="M178"/>
  <c r="M190" s="1"/>
  <c r="J178"/>
  <c r="O177"/>
  <c r="M177"/>
  <c r="J177"/>
  <c r="O175"/>
  <c r="N175"/>
  <c r="N173" s="1"/>
  <c r="M175"/>
  <c r="L175"/>
  <c r="K175"/>
  <c r="K173" s="1"/>
  <c r="J175"/>
  <c r="J173" s="1"/>
  <c r="M173"/>
  <c r="L173"/>
  <c r="L190" s="1"/>
  <c r="N165"/>
  <c r="M165"/>
  <c r="L165"/>
  <c r="K165"/>
  <c r="N163"/>
  <c r="M163"/>
  <c r="L163"/>
  <c r="K163"/>
  <c r="K155" s="1"/>
  <c r="O162"/>
  <c r="O161"/>
  <c r="N157"/>
  <c r="N155" s="1"/>
  <c r="M157"/>
  <c r="L157"/>
  <c r="K157"/>
  <c r="O156"/>
  <c r="M155"/>
  <c r="L155"/>
  <c r="L167" s="1"/>
  <c r="N154"/>
  <c r="M154"/>
  <c r="L154"/>
  <c r="K154"/>
  <c r="N152"/>
  <c r="N150" s="1"/>
  <c r="N167" s="1"/>
  <c r="M152"/>
  <c r="L152"/>
  <c r="K152"/>
  <c r="K150" s="1"/>
  <c r="K167" s="1"/>
  <c r="O151"/>
  <c r="M150"/>
  <c r="M167" s="1"/>
  <c r="L150"/>
  <c r="N140"/>
  <c r="M140"/>
  <c r="M130" s="1"/>
  <c r="K140"/>
  <c r="N138"/>
  <c r="M138"/>
  <c r="K138"/>
  <c r="K130" s="1"/>
  <c r="O137"/>
  <c r="O136"/>
  <c r="N132"/>
  <c r="M132"/>
  <c r="K132"/>
  <c r="O131"/>
  <c r="N130"/>
  <c r="N127"/>
  <c r="M127"/>
  <c r="K127"/>
  <c r="K125" s="1"/>
  <c r="O126"/>
  <c r="N125"/>
  <c r="M125"/>
  <c r="M142" s="1"/>
  <c r="K113"/>
  <c r="O112"/>
  <c r="O111"/>
  <c r="N110"/>
  <c r="N107"/>
  <c r="N116" s="1"/>
  <c r="N115" s="1"/>
  <c r="K107"/>
  <c r="O106"/>
  <c r="N92"/>
  <c r="M92"/>
  <c r="L92"/>
  <c r="J92"/>
  <c r="N91"/>
  <c r="M90"/>
  <c r="L90"/>
  <c r="K90"/>
  <c r="J90"/>
  <c r="O89"/>
  <c r="O88"/>
  <c r="O87"/>
  <c r="O86"/>
  <c r="M84"/>
  <c r="L84"/>
  <c r="K84"/>
  <c r="J84"/>
  <c r="O83"/>
  <c r="M82"/>
  <c r="L82"/>
  <c r="M81"/>
  <c r="L81"/>
  <c r="M79"/>
  <c r="L79"/>
  <c r="J79"/>
  <c r="J77" s="1"/>
  <c r="O78"/>
  <c r="M77"/>
  <c r="M94" s="1"/>
  <c r="L77"/>
  <c r="L94" s="1"/>
  <c r="N67"/>
  <c r="K65"/>
  <c r="O64"/>
  <c r="O63"/>
  <c r="K59"/>
  <c r="O58"/>
  <c r="O53"/>
  <c r="N42"/>
  <c r="K40"/>
  <c r="O39"/>
  <c r="O38"/>
  <c r="K34"/>
  <c r="O33"/>
  <c r="N28"/>
  <c r="M28"/>
  <c r="K28"/>
  <c r="J28"/>
  <c r="O28" s="1"/>
  <c r="R20"/>
  <c r="AA19"/>
  <c r="AA18"/>
  <c r="AA17"/>
  <c r="AA16"/>
  <c r="AA15"/>
  <c r="AA14"/>
  <c r="AA13"/>
  <c r="W12"/>
  <c r="N66" s="1"/>
  <c r="N65" s="1"/>
  <c r="N12"/>
  <c r="AA12" s="1"/>
  <c r="AA11"/>
  <c r="T11"/>
  <c r="P11"/>
  <c r="L11"/>
  <c r="H11"/>
  <c r="AA10"/>
  <c r="X10"/>
  <c r="P10"/>
  <c r="L10"/>
  <c r="H10"/>
  <c r="AA9"/>
  <c r="W9"/>
  <c r="S9"/>
  <c r="K9"/>
  <c r="H9"/>
  <c r="G9"/>
  <c r="Z8"/>
  <c r="X8"/>
  <c r="V8"/>
  <c r="T8"/>
  <c r="R8"/>
  <c r="P8"/>
  <c r="N8"/>
  <c r="L8"/>
  <c r="H8"/>
  <c r="AA7"/>
  <c r="X7"/>
  <c r="T7"/>
  <c r="P7"/>
  <c r="L7"/>
  <c r="H7"/>
  <c r="AA6"/>
  <c r="X6"/>
  <c r="T6"/>
  <c r="P6"/>
  <c r="L6"/>
  <c r="H6"/>
  <c r="AA5"/>
  <c r="Z4"/>
  <c r="Z20" s="1"/>
  <c r="N269" s="1"/>
  <c r="X4"/>
  <c r="V4"/>
  <c r="V20" s="1"/>
  <c r="T4"/>
  <c r="R4"/>
  <c r="P4"/>
  <c r="N4"/>
  <c r="L4"/>
  <c r="J4"/>
  <c r="J20" s="1"/>
  <c r="H4"/>
  <c r="O65" i="40" l="1"/>
  <c r="J66"/>
  <c r="O30"/>
  <c r="J42"/>
  <c r="N190" i="38"/>
  <c r="O201"/>
  <c r="K43"/>
  <c r="K42" s="1"/>
  <c r="K32" s="1"/>
  <c r="K31"/>
  <c r="L269"/>
  <c r="J21"/>
  <c r="M269"/>
  <c r="J94"/>
  <c r="L237"/>
  <c r="L238"/>
  <c r="M229"/>
  <c r="O229" s="1"/>
  <c r="M258"/>
  <c r="M257" s="1"/>
  <c r="M228"/>
  <c r="M224"/>
  <c r="O224" s="1"/>
  <c r="M246"/>
  <c r="M236"/>
  <c r="M66"/>
  <c r="M65" s="1"/>
  <c r="M41"/>
  <c r="M40" s="1"/>
  <c r="M259"/>
  <c r="M234"/>
  <c r="M230"/>
  <c r="O230" s="1"/>
  <c r="M114"/>
  <c r="M113" s="1"/>
  <c r="M102"/>
  <c r="M100" s="1"/>
  <c r="M67"/>
  <c r="M115"/>
  <c r="L133"/>
  <c r="L129"/>
  <c r="L110"/>
  <c r="L139"/>
  <c r="L138" s="1"/>
  <c r="L128"/>
  <c r="L127" s="1"/>
  <c r="L115"/>
  <c r="L114"/>
  <c r="L113" s="1"/>
  <c r="L67"/>
  <c r="L66"/>
  <c r="L65" s="1"/>
  <c r="L41"/>
  <c r="L40" s="1"/>
  <c r="J269"/>
  <c r="J266"/>
  <c r="K115"/>
  <c r="K105" s="1"/>
  <c r="K67"/>
  <c r="K102"/>
  <c r="K100" s="1"/>
  <c r="K55"/>
  <c r="K54" s="1"/>
  <c r="K52" s="1"/>
  <c r="J82"/>
  <c r="O91"/>
  <c r="N90"/>
  <c r="O90" s="1"/>
  <c r="N20"/>
  <c r="K142"/>
  <c r="O180"/>
  <c r="AA4"/>
  <c r="N114"/>
  <c r="N113" s="1"/>
  <c r="L135"/>
  <c r="K190"/>
  <c r="O178"/>
  <c r="J190"/>
  <c r="L196"/>
  <c r="N222"/>
  <c r="N220" s="1"/>
  <c r="L42"/>
  <c r="K30"/>
  <c r="K29" s="1"/>
  <c r="N41"/>
  <c r="N40" s="1"/>
  <c r="K57"/>
  <c r="L134"/>
  <c r="O173"/>
  <c r="O188"/>
  <c r="K213"/>
  <c r="K238"/>
  <c r="L261"/>
  <c r="N246"/>
  <c r="N244" s="1"/>
  <c r="N261" s="1"/>
  <c r="N102"/>
  <c r="N100" s="1"/>
  <c r="N79"/>
  <c r="J225"/>
  <c r="G11"/>
  <c r="AA8"/>
  <c r="O81"/>
  <c r="L102"/>
  <c r="N105"/>
  <c r="N142"/>
  <c r="L141"/>
  <c r="L140" s="1"/>
  <c r="O197"/>
  <c r="O198"/>
  <c r="O211"/>
  <c r="J238"/>
  <c r="N225"/>
  <c r="J67" i="40" l="1"/>
  <c r="O42"/>
  <c r="O67" s="1"/>
  <c r="J43"/>
  <c r="M107" i="38"/>
  <c r="M105" s="1"/>
  <c r="M117" s="1"/>
  <c r="L125"/>
  <c r="L142" s="1"/>
  <c r="L100"/>
  <c r="L34"/>
  <c r="L32" s="1"/>
  <c r="L132"/>
  <c r="L130" s="1"/>
  <c r="O93"/>
  <c r="K92"/>
  <c r="J258"/>
  <c r="O254"/>
  <c r="O253"/>
  <c r="J153"/>
  <c r="J114"/>
  <c r="J103"/>
  <c r="J66"/>
  <c r="J55"/>
  <c r="J41"/>
  <c r="J30"/>
  <c r="O160"/>
  <c r="O135"/>
  <c r="J164"/>
  <c r="J154"/>
  <c r="O154" s="1"/>
  <c r="O134"/>
  <c r="O129"/>
  <c r="O110"/>
  <c r="O109"/>
  <c r="O61"/>
  <c r="O36"/>
  <c r="J247"/>
  <c r="O159"/>
  <c r="O62"/>
  <c r="J56"/>
  <c r="O56" s="1"/>
  <c r="O37"/>
  <c r="J104"/>
  <c r="O104" s="1"/>
  <c r="O223"/>
  <c r="M222"/>
  <c r="M235"/>
  <c r="O235" s="1"/>
  <c r="O236"/>
  <c r="O228"/>
  <c r="M227"/>
  <c r="N27"/>
  <c r="N29"/>
  <c r="K269"/>
  <c r="O80"/>
  <c r="K79"/>
  <c r="M54"/>
  <c r="M52"/>
  <c r="M27"/>
  <c r="M29"/>
  <c r="N84"/>
  <c r="O85"/>
  <c r="L54"/>
  <c r="L52"/>
  <c r="L213"/>
  <c r="O196"/>
  <c r="O213" s="1"/>
  <c r="L29"/>
  <c r="L27"/>
  <c r="O234"/>
  <c r="M233"/>
  <c r="O233" s="1"/>
  <c r="J237"/>
  <c r="N52"/>
  <c r="N34"/>
  <c r="N32" s="1"/>
  <c r="N237"/>
  <c r="P237" s="1"/>
  <c r="K69"/>
  <c r="N117"/>
  <c r="J31"/>
  <c r="O31" s="1"/>
  <c r="AA20"/>
  <c r="O269" s="1"/>
  <c r="K27"/>
  <c r="K44" s="1"/>
  <c r="N59"/>
  <c r="N57" s="1"/>
  <c r="O190"/>
  <c r="N77"/>
  <c r="J248"/>
  <c r="O248" s="1"/>
  <c r="L107"/>
  <c r="L105" s="1"/>
  <c r="L59"/>
  <c r="L57" s="1"/>
  <c r="K117"/>
  <c r="J267"/>
  <c r="M59"/>
  <c r="M57" s="1"/>
  <c r="M34"/>
  <c r="M244"/>
  <c r="M251"/>
  <c r="M249" s="1"/>
  <c r="M32" l="1"/>
  <c r="M44" s="1"/>
  <c r="M43"/>
  <c r="M42" s="1"/>
  <c r="N44"/>
  <c r="L117"/>
  <c r="L69"/>
  <c r="O92"/>
  <c r="K82"/>
  <c r="O68"/>
  <c r="J67"/>
  <c r="O67" s="1"/>
  <c r="O116"/>
  <c r="J115"/>
  <c r="O115" s="1"/>
  <c r="J246"/>
  <c r="J244" s="1"/>
  <c r="O247"/>
  <c r="O246" s="1"/>
  <c r="O244" s="1"/>
  <c r="O30"/>
  <c r="J29"/>
  <c r="O29" s="1"/>
  <c r="J27"/>
  <c r="O153"/>
  <c r="J152"/>
  <c r="J257"/>
  <c r="O257" s="1"/>
  <c r="O258"/>
  <c r="K77"/>
  <c r="O79"/>
  <c r="O108"/>
  <c r="J107"/>
  <c r="O66"/>
  <c r="J65"/>
  <c r="O65" s="1"/>
  <c r="J138"/>
  <c r="O138" s="1"/>
  <c r="O139"/>
  <c r="J42"/>
  <c r="N82"/>
  <c r="N94" s="1"/>
  <c r="O84"/>
  <c r="J259"/>
  <c r="O259" s="1"/>
  <c r="O260"/>
  <c r="O133"/>
  <c r="J132"/>
  <c r="O60"/>
  <c r="J59"/>
  <c r="J157"/>
  <c r="O158"/>
  <c r="O55"/>
  <c r="J54"/>
  <c r="O128"/>
  <c r="L44"/>
  <c r="O103"/>
  <c r="J102"/>
  <c r="M225"/>
  <c r="O225" s="1"/>
  <c r="O227"/>
  <c r="M220"/>
  <c r="O222"/>
  <c r="O166"/>
  <c r="J165"/>
  <c r="O165" s="1"/>
  <c r="O35"/>
  <c r="J34"/>
  <c r="O164"/>
  <c r="J163"/>
  <c r="O163" s="1"/>
  <c r="J140"/>
  <c r="O140" s="1"/>
  <c r="O141"/>
  <c r="O41"/>
  <c r="J40"/>
  <c r="O40" s="1"/>
  <c r="O114"/>
  <c r="J113"/>
  <c r="O113" s="1"/>
  <c r="O252"/>
  <c r="J251"/>
  <c r="M261"/>
  <c r="N69"/>
  <c r="M69"/>
  <c r="O43" l="1"/>
  <c r="O42"/>
  <c r="N264"/>
  <c r="N267" s="1"/>
  <c r="O82"/>
  <c r="M237"/>
  <c r="M264" s="1"/>
  <c r="M267" s="1"/>
  <c r="M238"/>
  <c r="O220"/>
  <c r="O34"/>
  <c r="J32"/>
  <c r="O32" s="1"/>
  <c r="J100"/>
  <c r="O102"/>
  <c r="O100" s="1"/>
  <c r="L264"/>
  <c r="L267" s="1"/>
  <c r="O54"/>
  <c r="J52"/>
  <c r="O59"/>
  <c r="J57"/>
  <c r="O57" s="1"/>
  <c r="O107"/>
  <c r="J105"/>
  <c r="O105" s="1"/>
  <c r="O27"/>
  <c r="O127"/>
  <c r="J125"/>
  <c r="O157"/>
  <c r="J155"/>
  <c r="O155" s="1"/>
  <c r="K94"/>
  <c r="K264" s="1"/>
  <c r="K267" s="1"/>
  <c r="O77"/>
  <c r="J249"/>
  <c r="O249" s="1"/>
  <c r="O251"/>
  <c r="J130"/>
  <c r="O130" s="1"/>
  <c r="O132"/>
  <c r="O152"/>
  <c r="J150"/>
  <c r="O94" l="1"/>
  <c r="J117"/>
  <c r="J44"/>
  <c r="O44"/>
  <c r="O150"/>
  <c r="O167" s="1"/>
  <c r="J167"/>
  <c r="J142"/>
  <c r="J143" s="1"/>
  <c r="O125"/>
  <c r="O142" s="1"/>
  <c r="O52"/>
  <c r="O69" s="1"/>
  <c r="J69"/>
  <c r="O238"/>
  <c r="O237"/>
  <c r="J261"/>
  <c r="O117"/>
  <c r="J262" l="1"/>
  <c r="O261"/>
  <c r="O264" s="1"/>
  <c r="J264"/>
  <c r="O267" s="1"/>
  <c r="M31" i="42" l="1"/>
  <c r="L30"/>
  <c r="M30" s="1"/>
  <c r="L44" l="1"/>
  <c r="L47" s="1"/>
  <c r="L45" l="1"/>
  <c r="M44"/>
  <c r="M140" s="1"/>
  <c r="M166" s="1"/>
  <c r="F131" i="41" s="1"/>
  <c r="F133" s="1"/>
  <c r="L140" i="42"/>
  <c r="L166" l="1"/>
  <c r="L141"/>
</calcChain>
</file>

<file path=xl/comments1.xml><?xml version="1.0" encoding="utf-8"?>
<comments xmlns="http://schemas.openxmlformats.org/spreadsheetml/2006/main">
  <authors>
    <author>Zam_Gl_Buh1</author>
  </authors>
  <commentList>
    <comment ref="G4" authorId="0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начальное: в т.ч. 2 дистанционно</t>
        </r>
      </text>
    </comment>
    <comment ref="Q4" authorId="0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к увеличивается в связи с проездом педагогов с детьми</t>
        </r>
      </text>
    </comment>
    <comment ref="U4" authorId="0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малокомплектная школа</t>
        </r>
      </text>
    </comment>
    <comment ref="Y4" authorId="0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малокоппл.школа</t>
        </r>
      </text>
    </comment>
    <comment ref="G5" authorId="0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основное общее</t>
        </r>
      </text>
    </comment>
    <comment ref="G6" authorId="0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основное дистанционное</t>
        </r>
      </text>
    </comment>
    <comment ref="Y6" authorId="0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школа и д/с разные здания, за счет этого увеличивается расход </t>
        </r>
      </text>
    </comment>
    <comment ref="G7" authorId="0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среднее</t>
        </r>
      </text>
    </comment>
    <comment ref="G8" authorId="0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заочное</t>
        </r>
      </text>
    </comment>
    <comment ref="K8" authorId="0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основное дистанц.</t>
        </r>
      </text>
    </comment>
    <comment ref="Q8" authorId="0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за счет увеличения услуг</t>
        </r>
      </text>
    </comment>
    <comment ref="G10" authorId="0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д/г свыше 3-х лет</t>
        </r>
      </text>
    </comment>
    <comment ref="S10" authorId="0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д/г дети до 3-х лет</t>
        </r>
      </text>
    </comment>
    <comment ref="W10" authorId="0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д/г до 3-х лет</t>
        </r>
      </text>
    </comment>
    <comment ref="S11" authorId="0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свыше 3-х лет</t>
        </r>
      </text>
    </comment>
    <comment ref="W11" authorId="0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свыше 3-х лет</t>
        </r>
      </text>
    </comment>
    <comment ref="R17" authorId="0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потребление воды, канализация и э/энергии оплачивается гимназией за д/с 7</t>
        </r>
      </text>
    </comment>
  </commentList>
</comments>
</file>

<file path=xl/comments2.xml><?xml version="1.0" encoding="utf-8"?>
<comments xmlns="http://schemas.openxmlformats.org/spreadsheetml/2006/main">
  <authors>
    <author>Zam_Gl_Buh1</author>
  </authors>
  <commentList>
    <comment ref="R18" authorId="0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э/э, потребление воды и канализация оплачивается гимназией</t>
        </r>
      </text>
    </comment>
    <comment ref="V19" authorId="0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расходы на 1 ребенка увеличины за счет текущих расходов на обслуживание дополн.площадей и налогов</t>
        </r>
      </text>
    </comment>
  </commentList>
</comments>
</file>

<file path=xl/comments3.xml><?xml version="1.0" encoding="utf-8"?>
<comments xmlns="http://schemas.openxmlformats.org/spreadsheetml/2006/main">
  <authors>
    <author>Zam_Gl_Buh1</author>
  </authors>
  <commentList>
    <comment ref="H10" authorId="0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ледовые фигуры, фейерверк</t>
        </r>
      </text>
    </comment>
    <comment ref="R11" authorId="0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по стат. отчнту</t>
        </r>
      </text>
    </comment>
  </commentList>
</comments>
</file>

<file path=xl/comments4.xml><?xml version="1.0" encoding="utf-8"?>
<comments xmlns="http://schemas.openxmlformats.org/spreadsheetml/2006/main">
  <authors>
    <author>Zam_Gl_Buh1</author>
  </authors>
  <commentList>
    <comment ref="G6" authorId="0">
      <text>
        <r>
          <rPr>
            <b/>
            <sz val="9"/>
            <color indexed="81"/>
            <rFont val="Tahoma"/>
            <charset val="1"/>
          </rPr>
          <t>Zam_Gl_Buh1:</t>
        </r>
        <r>
          <rPr>
            <sz val="9"/>
            <color indexed="81"/>
            <rFont val="Tahoma"/>
            <charset val="1"/>
          </rPr>
          <t xml:space="preserve">
общеразв.пр.</t>
        </r>
      </text>
    </comment>
    <comment ref="G7" authorId="0">
      <text>
        <r>
          <rPr>
            <b/>
            <sz val="9"/>
            <color indexed="81"/>
            <rFont val="Tahoma"/>
            <charset val="1"/>
          </rPr>
          <t>Zam_Gl_Buh1:</t>
        </r>
        <r>
          <rPr>
            <sz val="9"/>
            <color indexed="81"/>
            <rFont val="Tahoma"/>
            <charset val="1"/>
          </rPr>
          <t xml:space="preserve">
хор</t>
        </r>
      </text>
    </comment>
    <comment ref="G8" authorId="0">
      <text>
        <r>
          <rPr>
            <b/>
            <sz val="9"/>
            <color indexed="81"/>
            <rFont val="Tahoma"/>
            <charset val="1"/>
          </rPr>
          <t>Zam_Gl_Buh1:</t>
        </r>
        <r>
          <rPr>
            <sz val="9"/>
            <color indexed="81"/>
            <rFont val="Tahoma"/>
            <charset val="1"/>
          </rPr>
          <t xml:space="preserve">
художники</t>
        </r>
      </text>
    </comment>
    <comment ref="G9" authorId="0">
      <text>
        <r>
          <rPr>
            <b/>
            <sz val="9"/>
            <color indexed="81"/>
            <rFont val="Tahoma"/>
            <charset val="1"/>
          </rPr>
          <t>Zam_Gl_Buh1:</t>
        </r>
        <r>
          <rPr>
            <sz val="9"/>
            <color indexed="81"/>
            <rFont val="Tahoma"/>
            <charset val="1"/>
          </rPr>
          <t xml:space="preserve">
форт.</t>
        </r>
      </text>
    </comment>
    <comment ref="G10" authorId="0">
      <text>
        <r>
          <rPr>
            <b/>
            <sz val="9"/>
            <color indexed="81"/>
            <rFont val="Tahoma"/>
            <charset val="1"/>
          </rPr>
          <t>Zam_Gl_Buh1:</t>
        </r>
        <r>
          <rPr>
            <sz val="9"/>
            <color indexed="81"/>
            <rFont val="Tahoma"/>
            <charset val="1"/>
          </rPr>
          <t xml:space="preserve">
муз.фол.</t>
        </r>
      </text>
    </comment>
  </commentList>
</comments>
</file>

<file path=xl/sharedStrings.xml><?xml version="1.0" encoding="utf-8"?>
<sst xmlns="http://schemas.openxmlformats.org/spreadsheetml/2006/main" count="865" uniqueCount="219">
  <si>
    <t>Единица измерения</t>
  </si>
  <si>
    <t>К  +   -</t>
  </si>
  <si>
    <t>№ п/п</t>
  </si>
  <si>
    <t>Учреждение   МБОУ  СОШ 1</t>
  </si>
  <si>
    <t>Учреждение   МБОУ  СОШ 2</t>
  </si>
  <si>
    <t>Учреждение   МБОУ  Гимназия</t>
  </si>
  <si>
    <t>1.</t>
  </si>
  <si>
    <t>Норматив  на 1 уч-ся</t>
  </si>
  <si>
    <t>кол-во учащихся</t>
  </si>
  <si>
    <t>Норма потребления</t>
  </si>
  <si>
    <t>К  +   -   %</t>
  </si>
  <si>
    <t>Учреждение   МБОУ  средняя общеобразовательная школа с.Ныш</t>
  </si>
  <si>
    <t>Учреждение   МБОУ  средняя общеобразовательная школа с.Вал</t>
  </si>
  <si>
    <t>2.</t>
  </si>
  <si>
    <t>3.</t>
  </si>
  <si>
    <t>К  +   -  %</t>
  </si>
  <si>
    <t>кол-во  потребления</t>
  </si>
  <si>
    <t>4.</t>
  </si>
  <si>
    <t>кол-во детей</t>
  </si>
  <si>
    <t>Учреждение   МБОУ  ДО ДШИ</t>
  </si>
  <si>
    <t>Учреждение   МБОУ  ДО ЦТ и В</t>
  </si>
  <si>
    <t>Учреждение   МБОУ  ДО ДЮСШ</t>
  </si>
  <si>
    <t>Наименование  услуги</t>
  </si>
  <si>
    <t>Проезд в отпуск</t>
  </si>
  <si>
    <t>руб.</t>
  </si>
  <si>
    <t>Учреждение   МБДОУ  Д/с №1</t>
  </si>
  <si>
    <t>Учреждение   МБДОУ  Д/с №2</t>
  </si>
  <si>
    <t>Учреждение   МБДОУ  Д/с №7</t>
  </si>
  <si>
    <t>Учреждение   МБДОУ  Д/с №9</t>
  </si>
  <si>
    <t>Учреждение   МБДОУ  Д/с №11</t>
  </si>
  <si>
    <t>Командировки</t>
  </si>
  <si>
    <t>Содержание зданий</t>
  </si>
  <si>
    <t>Текущий ремонт</t>
  </si>
  <si>
    <t>Норматив  на 1 ребенка, м2</t>
  </si>
  <si>
    <t>5.</t>
  </si>
  <si>
    <t>Прочие услуги</t>
  </si>
  <si>
    <t>6.</t>
  </si>
  <si>
    <t>Приобретение ОФ</t>
  </si>
  <si>
    <t>7.</t>
  </si>
  <si>
    <t>Приобретение МЗ</t>
  </si>
  <si>
    <t>8.</t>
  </si>
  <si>
    <t>Налоги</t>
  </si>
  <si>
    <t>9.</t>
  </si>
  <si>
    <t xml:space="preserve">Доплата за питание </t>
  </si>
  <si>
    <t>10.</t>
  </si>
  <si>
    <t>Питание м/о</t>
  </si>
  <si>
    <t>К/массовые меропр.</t>
  </si>
  <si>
    <t>ГПД</t>
  </si>
  <si>
    <t>11.</t>
  </si>
  <si>
    <t>12.</t>
  </si>
  <si>
    <t>13.</t>
  </si>
  <si>
    <t>Коммунальные услуги</t>
  </si>
  <si>
    <t>З/плата</t>
  </si>
  <si>
    <t>Участие в меропр.-педагоги (112)</t>
  </si>
  <si>
    <t>Содержание</t>
  </si>
  <si>
    <t>Норматив  на 1 уч-ся,  ч/час.</t>
  </si>
  <si>
    <t>кол-во детей,  ч/час.</t>
  </si>
  <si>
    <t>Ремонт</t>
  </si>
  <si>
    <t>Итого</t>
  </si>
  <si>
    <t>Услуги связи</t>
  </si>
  <si>
    <t>Всего расходов</t>
  </si>
  <si>
    <t>Норматив на 1 учащегося</t>
  </si>
  <si>
    <t>Норматив на одного ребенка</t>
  </si>
  <si>
    <t>Норматив на одного учащегося</t>
  </si>
  <si>
    <t>Норматив потребления</t>
  </si>
  <si>
    <t>Учреждение   МБУК  СДК с. Вал</t>
  </si>
  <si>
    <t>Учреждение   МБУК  СДК с. Ныш</t>
  </si>
  <si>
    <t>Учреждение   МБУК  РЦД</t>
  </si>
  <si>
    <t>кол-во работников,   ч/час.</t>
  </si>
  <si>
    <t>кол-во работников,   ч/час., м2</t>
  </si>
  <si>
    <t>Норматив  на 1 работника, м2, уч-ка творч.коллектива</t>
  </si>
  <si>
    <t>норматив на 1М2</t>
  </si>
  <si>
    <t>норматив на работающего</t>
  </si>
  <si>
    <t>Общий норматив на участников твор.кол-ва</t>
  </si>
  <si>
    <t>Учреждение   МБУК  РЦ Библиотека</t>
  </si>
  <si>
    <t>Учреждение   МБУК  М краеведческий музей</t>
  </si>
  <si>
    <t>20/3  35000,0</t>
  </si>
  <si>
    <t>36,5  10200</t>
  </si>
  <si>
    <t>норматив на число читателей</t>
  </si>
  <si>
    <t>норматив на число посещений</t>
  </si>
  <si>
    <t>Нормативные затраты на оказание муниципальной услуги</t>
  </si>
  <si>
    <t>Коммунальные  услуги, в том числе:</t>
  </si>
  <si>
    <t>расходы на электроэнергию 90%</t>
  </si>
  <si>
    <t>расходы на теплоэнергию 50%</t>
  </si>
  <si>
    <t>расходы на водоснабжение и водоотведение</t>
  </si>
  <si>
    <t>Иные  затраты</t>
  </si>
  <si>
    <t>Затраты на приобретение материальных запасов</t>
  </si>
  <si>
    <t>Затраты на общехозяйственные нужды</t>
  </si>
  <si>
    <t>Затраты на оплату труда и начисления на выплаты по оплате труда основного персонала</t>
  </si>
  <si>
    <t>Затраты на оплату труда и начисления на выплаты по оплате труда административно-управленческого, обслуживающего и прочего персонала</t>
  </si>
  <si>
    <t>Затраты на приобретение услуг связи</t>
  </si>
  <si>
    <t>Затраты на приобретение транспортных услуг</t>
  </si>
  <si>
    <t>Затраты на эксплуатацию (использование) недвижимого имущества, особо ценного ДИ</t>
  </si>
  <si>
    <t>Итого:</t>
  </si>
  <si>
    <t>МБОУ СОШ 1</t>
  </si>
  <si>
    <t>МБОУ СОШ 2</t>
  </si>
  <si>
    <t>МБОУ Гимназия</t>
  </si>
  <si>
    <t>МБОУ СОШ Н</t>
  </si>
  <si>
    <t>МБОУ СОШ В</t>
  </si>
  <si>
    <t>МБДОУ №1</t>
  </si>
  <si>
    <t>МБДОУ №2</t>
  </si>
  <si>
    <t>МБДОУ №7</t>
  </si>
  <si>
    <t>МБДОУ №9</t>
  </si>
  <si>
    <t>МБДОУ №11</t>
  </si>
  <si>
    <t>МБОУ ДО ДШИ</t>
  </si>
  <si>
    <t>МБОУ ДО ЦТ и В</t>
  </si>
  <si>
    <t>МБОУ ДО ДЮСШ</t>
  </si>
  <si>
    <t>Затраты на 1 обучающегося</t>
  </si>
  <si>
    <t>МБУК РЦД</t>
  </si>
  <si>
    <t>МБУК СДК с.Вал</t>
  </si>
  <si>
    <t>МБУК СДК с.Ныш</t>
  </si>
  <si>
    <t>Затраты на одного участника творческого коллектива:</t>
  </si>
  <si>
    <t>Затраты на одно посещение библиотеки</t>
  </si>
  <si>
    <t>14.</t>
  </si>
  <si>
    <t>Расходы по доп.образ.</t>
  </si>
  <si>
    <t>Всего расходов за 2018 год</t>
  </si>
  <si>
    <t>кол-во объектов культурного наследия  9836</t>
  </si>
  <si>
    <t>Затраты на сохранение одного объекта культурного наследия</t>
  </si>
  <si>
    <t xml:space="preserve">Реализация основных общеобразовательных услуг программ дошкольного образования в возрасте от 1 года  до  3 лет </t>
  </si>
  <si>
    <t>1.Нормативные затраты на оказание муниципальной услуги</t>
  </si>
  <si>
    <t xml:space="preserve">   1.1. Затраты на оплату труда и начисления на выплаты по оплате труда основного персонала</t>
  </si>
  <si>
    <t xml:space="preserve">   1.2. Затраты на приобретение материальных запасов  в т.ч.:</t>
  </si>
  <si>
    <t>приобретение мебели, музыкальных инструментов, методической литературы, игр, игрушек, спортивного инвентаря  для организации учебно-образовательного процесса.</t>
  </si>
  <si>
    <t xml:space="preserve">    1.3.  Иные  затраты</t>
  </si>
  <si>
    <t xml:space="preserve">     2.  Затраты на общехозяйственные нужды</t>
  </si>
  <si>
    <t xml:space="preserve">    2.1. Затраты на оплату труда и начисления на выплаты по оплате труда административно-управленческого, обслуживающего и прочего персонала</t>
  </si>
  <si>
    <t xml:space="preserve">    2.2 Коммунальные  услуги, в том числе:</t>
  </si>
  <si>
    <t xml:space="preserve">    2.3 Затраты на приобретение услуг связи</t>
  </si>
  <si>
    <t xml:space="preserve">    2.4 Затраты на приобретение транспортных услуг</t>
  </si>
  <si>
    <t xml:space="preserve">    2.5. Затраты на эксплуатацию (использование) недвижимого имущества, особо ценного движимого имущества</t>
  </si>
  <si>
    <t xml:space="preserve">услуги охраны, стирка, противопожарные мероприятия, медосмотры,оценка условий труда, госпошлины, налоги, нотариальные услуги, хозяйственные и канцелярские товары, стройматериалы, приобретение и сопровождение программного обеспечения для организации деятельности работников,  приобретение множительной техники, канцелярских принадлежностей, картриджей, принтеров и множительной техники, спец. одежды, кухонного бытового оборудования, используемых для организации деятельности работников. </t>
  </si>
  <si>
    <t xml:space="preserve">    2.6. Иные  затраты  в т.ч.:</t>
  </si>
  <si>
    <t>в т.ч.:тех.обслуживание счетчиков, сан.очистка и вывоз мусора, дезинсекция, диагностика систем вентиляции и др.</t>
  </si>
  <si>
    <t xml:space="preserve">Реализация основных общеобразовательных услуг программ дошкольного образования в возрасте от 3 лет   до  8 лет </t>
  </si>
  <si>
    <t>Всего расходов по услугам на 2019 год</t>
  </si>
  <si>
    <t xml:space="preserve">Затраты на одного учащегося:   </t>
  </si>
  <si>
    <t xml:space="preserve">Затраты на одного учащегося:     </t>
  </si>
  <si>
    <t>Реализация основных общеобразовательных программ начального общего образования</t>
  </si>
  <si>
    <t>Реализация основных общеобразовательных программ основного общего образования</t>
  </si>
  <si>
    <t>Реализация основных общеобразовательных программ основного общего образования с применением дистанционных технологий</t>
  </si>
  <si>
    <t>Реализация основных общеобразовательных программ среднего общего образования</t>
  </si>
  <si>
    <t>Реализация основных общеобразовательных программ среднего общего образования с применением дистанционных технологий</t>
  </si>
  <si>
    <t>Реализация основных общеобразовательных программ среднего общего образования   заочные классы</t>
  </si>
  <si>
    <t>Реализация дополнительных общеобразвивающих программ</t>
  </si>
  <si>
    <t>Организация отдыха детей и молодежи</t>
  </si>
  <si>
    <t>Дополнительное питание в  д/группах по пр.м/о</t>
  </si>
  <si>
    <t>Летний отдых по пр.м/о</t>
  </si>
  <si>
    <t>15.</t>
  </si>
  <si>
    <t>Л/отдых МБ</t>
  </si>
  <si>
    <t>16.</t>
  </si>
  <si>
    <t>Пр. спорт</t>
  </si>
  <si>
    <t>Затраты на одного учащегося (без расходов л/о, но с дошк.гр.)</t>
  </si>
  <si>
    <t>Размер нормативных затрат  по учреждениям МБОУ на 2019 год</t>
  </si>
  <si>
    <t>Летний отдых</t>
  </si>
  <si>
    <t>Реализация дополнительных общеразвивающих программ</t>
  </si>
  <si>
    <t>Реализация дополнительных общеобразовательных предпофессиональных програм  в области искусств -хоровое пение</t>
  </si>
  <si>
    <t>Реализация дополнительных общеобразовательных предпофессиональных програм  в области искусств -декоративно-прикладное творчество</t>
  </si>
  <si>
    <t>Реализация дополнительных общеобразовательных предпофессиональных програм  в области искусств -музыкальный фольклор</t>
  </si>
  <si>
    <t>Реализация дополнительных общеобразовательных предпофессиональных програм  в области искусств -фортепиано</t>
  </si>
  <si>
    <t>Затраты на эксплуатацию (использование) недвижимого имущества, особо ценного ДИ:в т.ч.:тех.обслуживание счетчиков, сан.очистка и вывоз мусора, дезинсекция, диагностика систем вентиляции и др.</t>
  </si>
  <si>
    <t>Иные  затраты:  услуги охраны, стирка, противопожарные мероприятия, медосмотры,оценка условий труда, госпошлины, налоги, нотариальные услуги, хозяйственные и канцелярские товары, стройматериалы, приобретение и сопровождение программного обеспечения для организации деятельности работников,  приобретение множительной техники, канцелярских принадлежностей, картриджей, принтеров и множительной техники, спец. одежды, кухонного бытового оборудования, используемых для организации деятельности работников.</t>
  </si>
  <si>
    <t>Затраты на приобретение материальных запасов в том числе: приобретение мебели, музыкальных инструментов, методической литературы,  спортивного инвентаря  для организации учебно-образовательного процесса.</t>
  </si>
  <si>
    <t>Иные  затраты:  услуги охраны,  противопожарные мероприятия, медосмотры,оценка условий труда, госпошлины, налоги, нотариальные услуги, хозяйственные и канцелярские товары, стройматериалы, приобретение и сопровождение программного обеспечения для организации деятельности работников,  приобретение множительной техники, канцелярских принадлежностей, картриджей, принтеров и множительной техники, спец. одежды, кухонного бытового оборудования, используемых для организации деятельности работников.</t>
  </si>
  <si>
    <t>Иные  затраты:  услуги охраны,противопожарные мероприятия, медосмотры,оценка условий труда, госпошлины, налоги, нотариальные услуги, хозяйственные и канцелярские товары, стройматериалы, приобретение и сопровождение программного обеспечения для организации деятельности работников,  приобретение множительной техники, канцелярских принадлежностей, картриджей, принтеров и множительной техники, спец. одежды, кухонного бытового оборудования, используемых для организации деятельности работников.</t>
  </si>
  <si>
    <t xml:space="preserve">    2.5. Затраты на эксплуатацию (использование) недвижимого имущества, особо ценного движимого имущества: в т.ч.:тех.обслуживание счетчиков, сан.очистка и вывоз мусора, дезинсекция, диагностика систем вентиляции и др.</t>
  </si>
  <si>
    <t xml:space="preserve">услуги охраны,  противопожарные мероприятия, медосмотры,оценка условий труда,  хозяйственные и канцелярские товары,   приобретение множительной техники, канцелярских принадлежностей, картриджей, принтеров и множительной техники, спец. одежды, кухонного бытового оборудования, используемых для организации деятельности работников. </t>
  </si>
  <si>
    <t>Иные  затраты:  услуги охраны, противопожарные мероприятия, медосмотры,оценка условий труда, госпошлины, налоги, нотариальные услуги, хозяйственные и канцелярские товары, стройматериалы, приобретение и сопровождение программного обеспечения для организации деятельности работников,  приобретение множительной техники, канцелярских принадлежностей, картриджей, принтеров и множительной техники, спец. одежды, кухонного бытового оборудования, используемых для организации деятельности работников.</t>
  </si>
  <si>
    <t>Организация деятельности клубных формирований и формирований самодеятельного народного творчества</t>
  </si>
  <si>
    <t>МБУК Ногликская централизованная библиотечная система</t>
  </si>
  <si>
    <t>Библиотечное, библиографическое и информационное обслуживание пользователей библиотеки</t>
  </si>
  <si>
    <t>МБУК Ногликский муниципальный краеведческий музей</t>
  </si>
  <si>
    <t>Обеспечение сохранения и использования объектов культурного наследия</t>
  </si>
  <si>
    <t>Приложение № 1</t>
  </si>
  <si>
    <t>Приложение № 2</t>
  </si>
  <si>
    <t>Приложение № 3</t>
  </si>
  <si>
    <t>Приложение № 4</t>
  </si>
  <si>
    <t>Приложение № 5</t>
  </si>
  <si>
    <t>Приложение № 6</t>
  </si>
  <si>
    <t>Приложение № 8</t>
  </si>
  <si>
    <t>Приложение № 9</t>
  </si>
  <si>
    <t>Приложение № 7</t>
  </si>
  <si>
    <t>Приложение № 10</t>
  </si>
  <si>
    <t>Приложение № 11</t>
  </si>
  <si>
    <t>Приложение № 12</t>
  </si>
  <si>
    <t>Приложение № 13</t>
  </si>
  <si>
    <t>Приложение № 14</t>
  </si>
  <si>
    <t>Приложение № 15</t>
  </si>
  <si>
    <t>Приложение № 16</t>
  </si>
  <si>
    <t>Приложение № 17</t>
  </si>
  <si>
    <t>Приложение № 18</t>
  </si>
  <si>
    <t>Приложение № 19</t>
  </si>
  <si>
    <t>Приложение № 20</t>
  </si>
  <si>
    <t>Приложение № 21</t>
  </si>
  <si>
    <t>расчеты сделаны по формулам</t>
  </si>
  <si>
    <t>Размер нормативных затрат  по учреждениям МБОУ на 2020 год</t>
  </si>
  <si>
    <t>Всего расходов по услугам на 2020 год</t>
  </si>
  <si>
    <t>Размер нормативных затрат  по учреждениям МБДОУ на 2020год</t>
  </si>
  <si>
    <t>Всего расходов за 2020 год</t>
  </si>
  <si>
    <t>транспортные услуги</t>
  </si>
  <si>
    <t>Нормативные затраты на оказание муниципальной услуги   2020 год</t>
  </si>
  <si>
    <t>Нормативные затраты на оказание муниципальной услуги  2020</t>
  </si>
  <si>
    <t>Всего расходов по дополнительному образованию</t>
  </si>
  <si>
    <t>норматив на участника творческого кол-ва   338</t>
  </si>
  <si>
    <t>Размер нормативных затрат  по учреждениям МБУК  на 2020 год</t>
  </si>
  <si>
    <t>школы</t>
  </si>
  <si>
    <t>Д/с</t>
  </si>
  <si>
    <t>Д/обр.</t>
  </si>
  <si>
    <t>культура</t>
  </si>
  <si>
    <t>Расчет нормативных затрат по учреждениям на 2020 год.</t>
  </si>
  <si>
    <t>ВСЕГО сумма нормативных затрат  по учреждениям</t>
  </si>
  <si>
    <t>Всего:</t>
  </si>
  <si>
    <t>К/массовые меропр. 2 УСЛУГА</t>
  </si>
  <si>
    <t>МБУК библиотека</t>
  </si>
  <si>
    <t>МБУК Музей</t>
  </si>
  <si>
    <t>Организация и проведение мероприятий</t>
  </si>
  <si>
    <t>Расчет нормативных затрат  по учреждениям (услугам) на 2020 год.</t>
  </si>
  <si>
    <t>Расчет нормативных затрат по учреждениям (услугам) на 2020 год.</t>
  </si>
  <si>
    <t>к приказу Департамента от 14.01.2020 № 13</t>
  </si>
  <si>
    <t>Приложение № 22</t>
  </si>
</sst>
</file>

<file path=xl/styles.xml><?xml version="1.0" encoding="utf-8"?>
<styleSheet xmlns="http://schemas.openxmlformats.org/spreadsheetml/2006/main">
  <numFmts count="1">
    <numFmt numFmtId="165" formatCode="0.0"/>
  </numFmts>
  <fonts count="1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0"/>
      <name val="Calibri"/>
      <family val="2"/>
      <charset val="204"/>
      <scheme val="minor"/>
    </font>
    <font>
      <sz val="11"/>
      <color theme="0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20">
    <xf numFmtId="0" fontId="0" fillId="0" borderId="0" xfId="0"/>
    <xf numFmtId="0" fontId="1" fillId="0" borderId="0" xfId="0" applyFont="1"/>
    <xf numFmtId="0" fontId="0" fillId="0" borderId="1" xfId="0" applyBorder="1"/>
    <xf numFmtId="0" fontId="4" fillId="0" borderId="1" xfId="0" applyFont="1" applyBorder="1"/>
    <xf numFmtId="0" fontId="4" fillId="0" borderId="0" xfId="0" applyFont="1"/>
    <xf numFmtId="0" fontId="4" fillId="0" borderId="0" xfId="0" applyFont="1" applyBorder="1" applyAlignment="1">
      <alignment horizontal="left"/>
    </xf>
    <xf numFmtId="2" fontId="0" fillId="0" borderId="1" xfId="0" applyNumberFormat="1" applyBorder="1"/>
    <xf numFmtId="0" fontId="4" fillId="0" borderId="5" xfId="0" applyFont="1" applyBorder="1"/>
    <xf numFmtId="2" fontId="0" fillId="0" borderId="0" xfId="0" applyNumberFormat="1"/>
    <xf numFmtId="2" fontId="4" fillId="0" borderId="1" xfId="0" applyNumberFormat="1" applyFont="1" applyBorder="1"/>
    <xf numFmtId="0" fontId="0" fillId="0" borderId="0" xfId="0" applyBorder="1"/>
    <xf numFmtId="165" fontId="0" fillId="0" borderId="0" xfId="0" applyNumberFormat="1"/>
    <xf numFmtId="0" fontId="4" fillId="0" borderId="0" xfId="0" applyFont="1" applyFill="1" applyBorder="1" applyAlignment="1">
      <alignment horizontal="center" vertical="center" wrapText="1"/>
    </xf>
    <xf numFmtId="165" fontId="4" fillId="0" borderId="1" xfId="0" applyNumberFormat="1" applyFont="1" applyBorder="1"/>
    <xf numFmtId="0" fontId="4" fillId="0" borderId="0" xfId="0" applyFont="1" applyBorder="1"/>
    <xf numFmtId="165" fontId="0" fillId="0" borderId="1" xfId="0" applyNumberFormat="1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right"/>
    </xf>
    <xf numFmtId="0" fontId="7" fillId="0" borderId="1" xfId="0" applyFont="1" applyBorder="1" applyAlignment="1">
      <alignment horizontal="center"/>
    </xf>
    <xf numFmtId="0" fontId="7" fillId="0" borderId="1" xfId="0" applyFont="1" applyBorder="1"/>
    <xf numFmtId="0" fontId="7" fillId="2" borderId="1" xfId="0" applyFont="1" applyFill="1" applyBorder="1"/>
    <xf numFmtId="0" fontId="7" fillId="0" borderId="0" xfId="0" applyFont="1"/>
    <xf numFmtId="0" fontId="6" fillId="0" borderId="1" xfId="0" applyFont="1" applyBorder="1" applyAlignment="1">
      <alignment horizontal="right"/>
    </xf>
    <xf numFmtId="0" fontId="7" fillId="0" borderId="2" xfId="0" applyFont="1" applyBorder="1"/>
    <xf numFmtId="0" fontId="6" fillId="0" borderId="1" xfId="0" applyFont="1" applyFill="1" applyBorder="1" applyAlignment="1">
      <alignment horizontal="right"/>
    </xf>
    <xf numFmtId="0" fontId="7" fillId="0" borderId="2" xfId="0" applyFont="1" applyBorder="1" applyAlignment="1">
      <alignment horizontal="right"/>
    </xf>
    <xf numFmtId="0" fontId="7" fillId="0" borderId="2" xfId="0" applyFont="1" applyBorder="1" applyAlignment="1">
      <alignment horizontal="left"/>
    </xf>
    <xf numFmtId="0" fontId="7" fillId="4" borderId="1" xfId="0" applyFont="1" applyFill="1" applyBorder="1"/>
    <xf numFmtId="0" fontId="6" fillId="0" borderId="0" xfId="0" applyFont="1"/>
    <xf numFmtId="2" fontId="6" fillId="0" borderId="1" xfId="0" applyNumberFormat="1" applyFont="1" applyBorder="1"/>
    <xf numFmtId="0" fontId="6" fillId="0" borderId="1" xfId="0" applyFont="1" applyBorder="1" applyAlignment="1">
      <alignment horizontal="center" vertical="center"/>
    </xf>
    <xf numFmtId="0" fontId="6" fillId="3" borderId="1" xfId="0" applyFont="1" applyFill="1" applyBorder="1"/>
    <xf numFmtId="2" fontId="6" fillId="3" borderId="1" xfId="0" applyNumberFormat="1" applyFont="1" applyFill="1" applyBorder="1"/>
    <xf numFmtId="0" fontId="6" fillId="0" borderId="2" xfId="0" applyFont="1" applyBorder="1"/>
    <xf numFmtId="2" fontId="6" fillId="0" borderId="2" xfId="0" applyNumberFormat="1" applyFont="1" applyBorder="1"/>
    <xf numFmtId="0" fontId="6" fillId="4" borderId="1" xfId="0" applyFont="1" applyFill="1" applyBorder="1"/>
    <xf numFmtId="2" fontId="6" fillId="4" borderId="1" xfId="0" applyNumberFormat="1" applyFont="1" applyFill="1" applyBorder="1"/>
    <xf numFmtId="0" fontId="7" fillId="0" borderId="0" xfId="0" applyFont="1" applyFill="1" applyBorder="1" applyAlignment="1">
      <alignment horizontal="right"/>
    </xf>
    <xf numFmtId="0" fontId="7" fillId="0" borderId="0" xfId="0" applyFont="1" applyBorder="1" applyAlignment="1">
      <alignment horizontal="left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/>
    <xf numFmtId="2" fontId="7" fillId="0" borderId="1" xfId="0" applyNumberFormat="1" applyFont="1" applyBorder="1"/>
    <xf numFmtId="2" fontId="7" fillId="0" borderId="1" xfId="0" applyNumberFormat="1" applyFont="1" applyBorder="1" applyAlignment="1"/>
    <xf numFmtId="0" fontId="7" fillId="0" borderId="3" xfId="0" applyFont="1" applyBorder="1"/>
    <xf numFmtId="2" fontId="7" fillId="0" borderId="0" xfId="0" applyNumberFormat="1" applyFont="1"/>
    <xf numFmtId="4" fontId="7" fillId="0" borderId="1" xfId="0" applyNumberFormat="1" applyFont="1" applyBorder="1" applyAlignment="1"/>
    <xf numFmtId="2" fontId="7" fillId="0" borderId="2" xfId="0" applyNumberFormat="1" applyFont="1" applyBorder="1"/>
    <xf numFmtId="2" fontId="7" fillId="0" borderId="2" xfId="0" applyNumberFormat="1" applyFont="1" applyBorder="1" applyAlignment="1"/>
    <xf numFmtId="2" fontId="7" fillId="3" borderId="1" xfId="0" applyNumberFormat="1" applyFont="1" applyFill="1" applyBorder="1"/>
    <xf numFmtId="0" fontId="7" fillId="3" borderId="1" xfId="0" applyFont="1" applyFill="1" applyBorder="1"/>
    <xf numFmtId="0" fontId="7" fillId="4" borderId="1" xfId="0" applyFont="1" applyFill="1" applyBorder="1" applyAlignment="1">
      <alignment horizontal="right"/>
    </xf>
    <xf numFmtId="2" fontId="7" fillId="4" borderId="1" xfId="0" applyNumberFormat="1" applyFont="1" applyFill="1" applyBorder="1"/>
    <xf numFmtId="2" fontId="6" fillId="3" borderId="1" xfId="0" applyNumberFormat="1" applyFont="1" applyFill="1" applyBorder="1" applyAlignment="1"/>
    <xf numFmtId="0" fontId="6" fillId="0" borderId="3" xfId="0" applyFont="1" applyBorder="1"/>
    <xf numFmtId="2" fontId="6" fillId="0" borderId="0" xfId="0" applyNumberFormat="1" applyFont="1"/>
    <xf numFmtId="0" fontId="6" fillId="0" borderId="2" xfId="0" applyFont="1" applyBorder="1" applyAlignment="1">
      <alignment horizontal="center"/>
    </xf>
    <xf numFmtId="2" fontId="6" fillId="3" borderId="2" xfId="0" applyNumberFormat="1" applyFont="1" applyFill="1" applyBorder="1"/>
    <xf numFmtId="0" fontId="6" fillId="3" borderId="0" xfId="0" applyFont="1" applyFill="1"/>
    <xf numFmtId="0" fontId="6" fillId="3" borderId="2" xfId="0" applyFont="1" applyFill="1" applyBorder="1"/>
    <xf numFmtId="2" fontId="6" fillId="3" borderId="2" xfId="0" applyNumberFormat="1" applyFont="1" applyFill="1" applyBorder="1" applyAlignment="1"/>
    <xf numFmtId="0" fontId="0" fillId="6" borderId="0" xfId="0" applyFill="1"/>
    <xf numFmtId="165" fontId="4" fillId="2" borderId="1" xfId="0" applyNumberFormat="1" applyFont="1" applyFill="1" applyBorder="1"/>
    <xf numFmtId="165" fontId="4" fillId="7" borderId="1" xfId="0" applyNumberFormat="1" applyFont="1" applyFill="1" applyBorder="1"/>
    <xf numFmtId="165" fontId="4" fillId="8" borderId="1" xfId="0" applyNumberFormat="1" applyFont="1" applyFill="1" applyBorder="1"/>
    <xf numFmtId="0" fontId="4" fillId="8" borderId="1" xfId="0" applyFont="1" applyFill="1" applyBorder="1"/>
    <xf numFmtId="2" fontId="7" fillId="0" borderId="0" xfId="0" applyNumberFormat="1" applyFont="1" applyBorder="1"/>
    <xf numFmtId="2" fontId="7" fillId="7" borderId="1" xfId="0" applyNumberFormat="1" applyFont="1" applyFill="1" applyBorder="1"/>
    <xf numFmtId="0" fontId="4" fillId="8" borderId="0" xfId="0" applyFont="1" applyFill="1"/>
    <xf numFmtId="0" fontId="4" fillId="3" borderId="1" xfId="0" applyFont="1" applyFill="1" applyBorder="1"/>
    <xf numFmtId="165" fontId="0" fillId="0" borderId="0" xfId="0" applyNumberFormat="1" applyBorder="1"/>
    <xf numFmtId="165" fontId="4" fillId="0" borderId="0" xfId="0" applyNumberFormat="1" applyFont="1" applyBorder="1"/>
    <xf numFmtId="0" fontId="8" fillId="0" borderId="0" xfId="0" applyFont="1"/>
    <xf numFmtId="0" fontId="0" fillId="2" borderId="1" xfId="0" applyFill="1" applyBorder="1"/>
    <xf numFmtId="165" fontId="0" fillId="2" borderId="1" xfId="0" applyNumberFormat="1" applyFill="1" applyBorder="1"/>
    <xf numFmtId="165" fontId="0" fillId="7" borderId="1" xfId="0" applyNumberFormat="1" applyFill="1" applyBorder="1"/>
    <xf numFmtId="0" fontId="7" fillId="7" borderId="1" xfId="0" applyFont="1" applyFill="1" applyBorder="1"/>
    <xf numFmtId="0" fontId="7" fillId="7" borderId="2" xfId="0" applyFont="1" applyFill="1" applyBorder="1"/>
    <xf numFmtId="0" fontId="6" fillId="0" borderId="0" xfId="0" applyFont="1" applyBorder="1"/>
    <xf numFmtId="0" fontId="1" fillId="0" borderId="0" xfId="0" applyFont="1" applyBorder="1"/>
    <xf numFmtId="165" fontId="5" fillId="0" borderId="1" xfId="0" applyNumberFormat="1" applyFont="1" applyBorder="1"/>
    <xf numFmtId="165" fontId="0" fillId="0" borderId="4" xfId="0" applyNumberFormat="1" applyBorder="1"/>
    <xf numFmtId="2" fontId="7" fillId="3" borderId="0" xfId="0" applyNumberFormat="1" applyFont="1" applyFill="1" applyBorder="1"/>
    <xf numFmtId="0" fontId="1" fillId="3" borderId="0" xfId="0" applyFont="1" applyFill="1"/>
    <xf numFmtId="165" fontId="1" fillId="3" borderId="0" xfId="0" applyNumberFormat="1" applyFont="1" applyFill="1"/>
    <xf numFmtId="165" fontId="7" fillId="3" borderId="0" xfId="0" applyNumberFormat="1" applyFont="1" applyFill="1"/>
    <xf numFmtId="165" fontId="7" fillId="0" borderId="0" xfId="0" applyNumberFormat="1" applyFont="1"/>
    <xf numFmtId="165" fontId="4" fillId="2" borderId="2" xfId="0" applyNumberFormat="1" applyFont="1" applyFill="1" applyBorder="1"/>
    <xf numFmtId="0" fontId="4" fillId="2" borderId="2" xfId="0" applyFont="1" applyFill="1" applyBorder="1"/>
    <xf numFmtId="165" fontId="4" fillId="3" borderId="1" xfId="0" applyNumberFormat="1" applyFont="1" applyFill="1" applyBorder="1"/>
    <xf numFmtId="2" fontId="1" fillId="0" borderId="0" xfId="0" applyNumberFormat="1" applyFont="1"/>
    <xf numFmtId="2" fontId="0" fillId="0" borderId="0" xfId="0" applyNumberFormat="1" applyBorder="1"/>
    <xf numFmtId="165" fontId="4" fillId="5" borderId="1" xfId="0" applyNumberFormat="1" applyFont="1" applyFill="1" applyBorder="1"/>
    <xf numFmtId="0" fontId="7" fillId="3" borderId="2" xfId="0" applyFont="1" applyFill="1" applyBorder="1"/>
    <xf numFmtId="0" fontId="7" fillId="3" borderId="1" xfId="0" applyFont="1" applyFill="1" applyBorder="1" applyAlignment="1">
      <alignment horizontal="right"/>
    </xf>
    <xf numFmtId="165" fontId="0" fillId="8" borderId="0" xfId="0" applyNumberFormat="1" applyFill="1"/>
    <xf numFmtId="2" fontId="4" fillId="8" borderId="1" xfId="0" applyNumberFormat="1" applyFont="1" applyFill="1" applyBorder="1"/>
    <xf numFmtId="165" fontId="0" fillId="0" borderId="3" xfId="0" applyNumberFormat="1" applyBorder="1"/>
    <xf numFmtId="1" fontId="4" fillId="5" borderId="5" xfId="0" applyNumberFormat="1" applyFont="1" applyFill="1" applyBorder="1"/>
    <xf numFmtId="1" fontId="4" fillId="5" borderId="1" xfId="0" applyNumberFormat="1" applyFont="1" applyFill="1" applyBorder="1"/>
    <xf numFmtId="0" fontId="0" fillId="4" borderId="1" xfId="0" applyFill="1" applyBorder="1"/>
    <xf numFmtId="0" fontId="5" fillId="3" borderId="0" xfId="0" applyFont="1" applyFill="1" applyBorder="1" applyAlignment="1">
      <alignment horizontal="left"/>
    </xf>
    <xf numFmtId="165" fontId="0" fillId="3" borderId="0" xfId="0" applyNumberFormat="1" applyFill="1" applyBorder="1"/>
    <xf numFmtId="0" fontId="0" fillId="3" borderId="0" xfId="0" applyFill="1"/>
    <xf numFmtId="2" fontId="7" fillId="7" borderId="2" xfId="0" applyNumberFormat="1" applyFont="1" applyFill="1" applyBorder="1"/>
    <xf numFmtId="165" fontId="4" fillId="8" borderId="0" xfId="0" applyNumberFormat="1" applyFont="1" applyFill="1"/>
    <xf numFmtId="0" fontId="4" fillId="0" borderId="5" xfId="0" applyFont="1" applyBorder="1" applyAlignment="1">
      <alignment horizontal="center" wrapText="1"/>
    </xf>
    <xf numFmtId="2" fontId="4" fillId="0" borderId="5" xfId="0" applyNumberFormat="1" applyFont="1" applyBorder="1"/>
    <xf numFmtId="165" fontId="4" fillId="0" borderId="5" xfId="0" applyNumberFormat="1" applyFont="1" applyBorder="1"/>
    <xf numFmtId="165" fontId="4" fillId="8" borderId="5" xfId="0" applyNumberFormat="1" applyFont="1" applyFill="1" applyBorder="1"/>
    <xf numFmtId="165" fontId="4" fillId="7" borderId="5" xfId="0" applyNumberFormat="1" applyFont="1" applyFill="1" applyBorder="1"/>
    <xf numFmtId="165" fontId="4" fillId="2" borderId="5" xfId="0" applyNumberFormat="1" applyFont="1" applyFill="1" applyBorder="1"/>
    <xf numFmtId="0" fontId="0" fillId="9" borderId="1" xfId="0" applyFill="1" applyBorder="1"/>
    <xf numFmtId="165" fontId="0" fillId="9" borderId="1" xfId="0" applyNumberFormat="1" applyFill="1" applyBorder="1"/>
    <xf numFmtId="0" fontId="6" fillId="0" borderId="13" xfId="0" applyFont="1" applyFill="1" applyBorder="1"/>
    <xf numFmtId="2" fontId="7" fillId="3" borderId="2" xfId="0" applyNumberFormat="1" applyFont="1" applyFill="1" applyBorder="1"/>
    <xf numFmtId="0" fontId="7" fillId="10" borderId="1" xfId="0" applyFont="1" applyFill="1" applyBorder="1"/>
    <xf numFmtId="165" fontId="0" fillId="7" borderId="0" xfId="0" applyNumberFormat="1" applyFill="1"/>
    <xf numFmtId="0" fontId="6" fillId="10" borderId="1" xfId="0" applyFont="1" applyFill="1" applyBorder="1" applyAlignment="1">
      <alignment horizontal="center" vertical="center"/>
    </xf>
    <xf numFmtId="0" fontId="6" fillId="10" borderId="1" xfId="0" applyFont="1" applyFill="1" applyBorder="1"/>
    <xf numFmtId="2" fontId="6" fillId="10" borderId="1" xfId="0" applyNumberFormat="1" applyFont="1" applyFill="1" applyBorder="1"/>
    <xf numFmtId="165" fontId="4" fillId="10" borderId="1" xfId="0" applyNumberFormat="1" applyFont="1" applyFill="1" applyBorder="1"/>
    <xf numFmtId="165" fontId="1" fillId="0" borderId="1" xfId="0" applyNumberFormat="1" applyFont="1" applyBorder="1"/>
    <xf numFmtId="0" fontId="4" fillId="0" borderId="1" xfId="0" applyFont="1" applyBorder="1" applyAlignment="1">
      <alignment horizontal="left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6" fillId="0" borderId="2" xfId="0" applyFont="1" applyBorder="1" applyAlignment="1">
      <alignment horizontal="right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/>
    </xf>
    <xf numFmtId="0" fontId="0" fillId="7" borderId="0" xfId="0" applyFill="1"/>
    <xf numFmtId="0" fontId="7" fillId="2" borderId="2" xfId="0" applyFont="1" applyFill="1" applyBorder="1"/>
    <xf numFmtId="0" fontId="7" fillId="9" borderId="1" xfId="0" applyFont="1" applyFill="1" applyBorder="1"/>
    <xf numFmtId="0" fontId="11" fillId="9" borderId="1" xfId="0" applyFont="1" applyFill="1" applyBorder="1"/>
    <xf numFmtId="0" fontId="7" fillId="9" borderId="2" xfId="0" applyFont="1" applyFill="1" applyBorder="1"/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right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0" fontId="6" fillId="0" borderId="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/>
    </xf>
    <xf numFmtId="0" fontId="7" fillId="9" borderId="1" xfId="0" applyFont="1" applyFill="1" applyBorder="1" applyAlignment="1">
      <alignment horizontal="right"/>
    </xf>
    <xf numFmtId="0" fontId="6" fillId="9" borderId="1" xfId="0" applyFont="1" applyFill="1" applyBorder="1"/>
    <xf numFmtId="0" fontId="6" fillId="6" borderId="1" xfId="0" applyFont="1" applyFill="1" applyBorder="1"/>
    <xf numFmtId="0" fontId="6" fillId="6" borderId="2" xfId="0" applyFont="1" applyFill="1" applyBorder="1"/>
    <xf numFmtId="2" fontId="6" fillId="6" borderId="1" xfId="0" applyNumberFormat="1" applyFont="1" applyFill="1" applyBorder="1" applyAlignment="1">
      <alignment horizontal="right"/>
    </xf>
    <xf numFmtId="2" fontId="6" fillId="6" borderId="1" xfId="0" applyNumberFormat="1" applyFont="1" applyFill="1" applyBorder="1"/>
    <xf numFmtId="2" fontId="6" fillId="6" borderId="2" xfId="0" applyNumberFormat="1" applyFont="1" applyFill="1" applyBorder="1"/>
    <xf numFmtId="2" fontId="6" fillId="9" borderId="1" xfId="0" applyNumberFormat="1" applyFont="1" applyFill="1" applyBorder="1"/>
    <xf numFmtId="2" fontId="6" fillId="6" borderId="1" xfId="0" applyNumberFormat="1" applyFont="1" applyFill="1" applyBorder="1" applyAlignment="1"/>
    <xf numFmtId="2" fontId="4" fillId="0" borderId="0" xfId="0" applyNumberFormat="1" applyFont="1" applyBorder="1" applyAlignment="1">
      <alignment horizontal="left"/>
    </xf>
    <xf numFmtId="2" fontId="4" fillId="0" borderId="0" xfId="0" applyNumberFormat="1" applyFont="1"/>
    <xf numFmtId="0" fontId="12" fillId="3" borderId="1" xfId="0" applyFont="1" applyFill="1" applyBorder="1"/>
    <xf numFmtId="0" fontId="0" fillId="8" borderId="1" xfId="0" applyFill="1" applyBorder="1"/>
    <xf numFmtId="2" fontId="4" fillId="0" borderId="3" xfId="0" applyNumberFormat="1" applyFont="1" applyBorder="1"/>
    <xf numFmtId="165" fontId="6" fillId="0" borderId="0" xfId="0" applyNumberFormat="1" applyFont="1"/>
    <xf numFmtId="0" fontId="13" fillId="0" borderId="0" xfId="0" applyFont="1"/>
    <xf numFmtId="0" fontId="4" fillId="0" borderId="4" xfId="0" applyFont="1" applyBorder="1" applyAlignment="1">
      <alignment horizontal="left" wrapText="1"/>
    </xf>
    <xf numFmtId="0" fontId="4" fillId="0" borderId="5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6" fillId="4" borderId="5" xfId="0" applyFont="1" applyFill="1" applyBorder="1" applyAlignment="1">
      <alignment horizontal="left"/>
    </xf>
    <xf numFmtId="0" fontId="6" fillId="4" borderId="6" xfId="0" applyFont="1" applyFill="1" applyBorder="1" applyAlignment="1">
      <alignment horizontal="left"/>
    </xf>
    <xf numFmtId="0" fontId="6" fillId="4" borderId="7" xfId="0" applyFont="1" applyFill="1" applyBorder="1" applyAlignment="1">
      <alignment horizontal="left"/>
    </xf>
    <xf numFmtId="0" fontId="6" fillId="0" borderId="1" xfId="0" applyFont="1" applyBorder="1" applyAlignment="1">
      <alignment horizontal="center" vertical="center" wrapText="1"/>
    </xf>
    <xf numFmtId="2" fontId="6" fillId="0" borderId="2" xfId="0" applyNumberFormat="1" applyFont="1" applyBorder="1" applyAlignment="1">
      <alignment horizontal="right"/>
    </xf>
    <xf numFmtId="2" fontId="6" fillId="0" borderId="3" xfId="0" applyNumberFormat="1" applyFont="1" applyBorder="1" applyAlignment="1">
      <alignment horizontal="right"/>
    </xf>
    <xf numFmtId="4" fontId="6" fillId="3" borderId="2" xfId="0" applyNumberFormat="1" applyFont="1" applyFill="1" applyBorder="1" applyAlignment="1">
      <alignment horizontal="right"/>
    </xf>
    <xf numFmtId="4" fontId="6" fillId="3" borderId="3" xfId="0" applyNumberFormat="1" applyFont="1" applyFill="1" applyBorder="1" applyAlignment="1">
      <alignment horizontal="right"/>
    </xf>
    <xf numFmtId="0" fontId="6" fillId="3" borderId="5" xfId="0" applyFont="1" applyFill="1" applyBorder="1" applyAlignment="1">
      <alignment horizontal="left"/>
    </xf>
    <xf numFmtId="0" fontId="6" fillId="3" borderId="6" xfId="0" applyFont="1" applyFill="1" applyBorder="1" applyAlignment="1">
      <alignment horizontal="left"/>
    </xf>
    <xf numFmtId="0" fontId="6" fillId="3" borderId="7" xfId="0" applyFont="1" applyFill="1" applyBorder="1" applyAlignment="1">
      <alignment horizontal="left"/>
    </xf>
    <xf numFmtId="0" fontId="6" fillId="0" borderId="8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9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7" xfId="0" applyFont="1" applyBorder="1" applyAlignment="1">
      <alignment horizontal="left"/>
    </xf>
    <xf numFmtId="0" fontId="6" fillId="3" borderId="8" xfId="0" applyFont="1" applyFill="1" applyBorder="1" applyAlignment="1">
      <alignment horizontal="left"/>
    </xf>
    <xf numFmtId="0" fontId="6" fillId="3" borderId="4" xfId="0" applyFont="1" applyFill="1" applyBorder="1" applyAlignment="1">
      <alignment horizontal="left"/>
    </xf>
    <xf numFmtId="0" fontId="6" fillId="3" borderId="9" xfId="0" applyFont="1" applyFill="1" applyBorder="1" applyAlignment="1">
      <alignment horizontal="left"/>
    </xf>
    <xf numFmtId="0" fontId="6" fillId="0" borderId="5" xfId="0" applyFont="1" applyBorder="1" applyAlignment="1">
      <alignment horizontal="left" wrapText="1"/>
    </xf>
    <xf numFmtId="0" fontId="6" fillId="0" borderId="6" xfId="0" applyFont="1" applyBorder="1" applyAlignment="1">
      <alignment horizontal="left" wrapText="1"/>
    </xf>
    <xf numFmtId="0" fontId="6" fillId="0" borderId="7" xfId="0" applyFont="1" applyBorder="1" applyAlignment="1">
      <alignment horizontal="left" wrapText="1"/>
    </xf>
    <xf numFmtId="0" fontId="6" fillId="0" borderId="1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/>
    </xf>
    <xf numFmtId="0" fontId="7" fillId="4" borderId="6" xfId="0" applyFont="1" applyFill="1" applyBorder="1" applyAlignment="1">
      <alignment horizontal="center"/>
    </xf>
    <xf numFmtId="0" fontId="7" fillId="4" borderId="7" xfId="0" applyFont="1" applyFill="1" applyBorder="1" applyAlignment="1">
      <alignment horizontal="center"/>
    </xf>
    <xf numFmtId="0" fontId="7" fillId="0" borderId="5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7" xfId="0" applyFont="1" applyBorder="1" applyAlignment="1">
      <alignment horizontal="left"/>
    </xf>
    <xf numFmtId="0" fontId="7" fillId="0" borderId="5" xfId="0" applyFont="1" applyBorder="1" applyAlignment="1">
      <alignment horizontal="left" wrapText="1"/>
    </xf>
    <xf numFmtId="0" fontId="7" fillId="0" borderId="6" xfId="0" applyFont="1" applyBorder="1" applyAlignment="1">
      <alignment horizontal="left" wrapText="1"/>
    </xf>
    <xf numFmtId="0" fontId="7" fillId="0" borderId="7" xfId="0" applyFont="1" applyBorder="1" applyAlignment="1">
      <alignment horizontal="left" wrapText="1"/>
    </xf>
    <xf numFmtId="0" fontId="7" fillId="0" borderId="8" xfId="0" applyFont="1" applyBorder="1" applyAlignment="1">
      <alignment horizontal="left" wrapText="1"/>
    </xf>
    <xf numFmtId="0" fontId="7" fillId="0" borderId="4" xfId="0" applyFont="1" applyBorder="1" applyAlignment="1">
      <alignment horizontal="left" wrapText="1"/>
    </xf>
    <xf numFmtId="0" fontId="7" fillId="0" borderId="9" xfId="0" applyFont="1" applyBorder="1" applyAlignment="1">
      <alignment horizontal="left" wrapText="1"/>
    </xf>
    <xf numFmtId="0" fontId="6" fillId="0" borderId="2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4" borderId="5" xfId="0" applyFont="1" applyFill="1" applyBorder="1" applyAlignment="1">
      <alignment horizontal="left"/>
    </xf>
    <xf numFmtId="0" fontId="7" fillId="4" borderId="6" xfId="0" applyFont="1" applyFill="1" applyBorder="1" applyAlignment="1">
      <alignment horizontal="left"/>
    </xf>
    <xf numFmtId="0" fontId="7" fillId="4" borderId="7" xfId="0" applyFont="1" applyFill="1" applyBorder="1" applyAlignment="1">
      <alignment horizontal="left"/>
    </xf>
    <xf numFmtId="0" fontId="7" fillId="0" borderId="1" xfId="0" applyFont="1" applyBorder="1" applyAlignment="1">
      <alignment horizontal="left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4" fillId="0" borderId="6" xfId="0" applyFont="1" applyBorder="1" applyAlignment="1">
      <alignment horizontal="left"/>
    </xf>
    <xf numFmtId="0" fontId="4" fillId="0" borderId="8" xfId="0" applyFont="1" applyBorder="1" applyAlignment="1">
      <alignment horizontal="left" wrapText="1"/>
    </xf>
    <xf numFmtId="0" fontId="4" fillId="0" borderId="9" xfId="0" applyFont="1" applyBorder="1" applyAlignment="1">
      <alignment horizontal="left" wrapText="1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4" fillId="0" borderId="5" xfId="0" applyFont="1" applyBorder="1" applyAlignment="1">
      <alignment horizontal="left" wrapText="1"/>
    </xf>
    <xf numFmtId="0" fontId="4" fillId="0" borderId="6" xfId="0" applyFont="1" applyBorder="1" applyAlignment="1">
      <alignment horizontal="left" wrapText="1"/>
    </xf>
    <xf numFmtId="0" fontId="4" fillId="0" borderId="7" xfId="0" applyFont="1" applyBorder="1" applyAlignment="1">
      <alignment horizontal="left" wrapText="1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5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4" fillId="8" borderId="5" xfId="0" applyFont="1" applyFill="1" applyBorder="1" applyAlignment="1">
      <alignment horizontal="left"/>
    </xf>
    <xf numFmtId="0" fontId="4" fillId="8" borderId="6" xfId="0" applyFont="1" applyFill="1" applyBorder="1" applyAlignment="1">
      <alignment horizontal="left"/>
    </xf>
    <xf numFmtId="0" fontId="4" fillId="8" borderId="7" xfId="0" applyFont="1" applyFill="1" applyBorder="1" applyAlignment="1">
      <alignment horizontal="left"/>
    </xf>
    <xf numFmtId="0" fontId="4" fillId="2" borderId="8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4" fillId="2" borderId="9" xfId="0" applyFont="1" applyFill="1" applyBorder="1" applyAlignment="1">
      <alignment horizontal="left"/>
    </xf>
    <xf numFmtId="49" fontId="4" fillId="0" borderId="5" xfId="0" applyNumberFormat="1" applyFont="1" applyBorder="1" applyAlignment="1">
      <alignment horizontal="left" wrapText="1"/>
    </xf>
    <xf numFmtId="49" fontId="4" fillId="0" borderId="6" xfId="0" applyNumberFormat="1" applyFont="1" applyBorder="1" applyAlignment="1">
      <alignment horizontal="left" wrapText="1"/>
    </xf>
    <xf numFmtId="49" fontId="4" fillId="0" borderId="7" xfId="0" applyNumberFormat="1" applyFont="1" applyBorder="1" applyAlignment="1">
      <alignment horizontal="left" wrapText="1"/>
    </xf>
    <xf numFmtId="0" fontId="5" fillId="2" borderId="5" xfId="0" applyFont="1" applyFill="1" applyBorder="1" applyAlignment="1">
      <alignment horizontal="center" wrapText="1"/>
    </xf>
    <xf numFmtId="0" fontId="5" fillId="2" borderId="6" xfId="0" applyFont="1" applyFill="1" applyBorder="1" applyAlignment="1">
      <alignment horizontal="center" wrapText="1"/>
    </xf>
    <xf numFmtId="0" fontId="5" fillId="2" borderId="7" xfId="0" applyFont="1" applyFill="1" applyBorder="1" applyAlignment="1">
      <alignment horizontal="center" wrapText="1"/>
    </xf>
    <xf numFmtId="0" fontId="4" fillId="5" borderId="5" xfId="0" applyFont="1" applyFill="1" applyBorder="1" applyAlignment="1">
      <alignment horizontal="center"/>
    </xf>
    <xf numFmtId="0" fontId="4" fillId="5" borderId="6" xfId="0" applyFont="1" applyFill="1" applyBorder="1" applyAlignment="1">
      <alignment horizontal="center"/>
    </xf>
    <xf numFmtId="0" fontId="4" fillId="5" borderId="7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left"/>
    </xf>
    <xf numFmtId="0" fontId="4" fillId="2" borderId="6" xfId="0" applyFont="1" applyFill="1" applyBorder="1" applyAlignment="1">
      <alignment horizontal="left"/>
    </xf>
    <xf numFmtId="0" fontId="4" fillId="2" borderId="7" xfId="0" applyFont="1" applyFill="1" applyBorder="1" applyAlignment="1">
      <alignment horizontal="left"/>
    </xf>
    <xf numFmtId="0" fontId="5" fillId="2" borderId="5" xfId="0" applyFont="1" applyFill="1" applyBorder="1" applyAlignment="1">
      <alignment horizontal="left"/>
    </xf>
    <xf numFmtId="0" fontId="5" fillId="2" borderId="6" xfId="0" applyFont="1" applyFill="1" applyBorder="1" applyAlignment="1">
      <alignment horizontal="left"/>
    </xf>
    <xf numFmtId="0" fontId="5" fillId="2" borderId="7" xfId="0" applyFont="1" applyFill="1" applyBorder="1" applyAlignment="1">
      <alignment horizontal="left"/>
    </xf>
    <xf numFmtId="0" fontId="1" fillId="7" borderId="5" xfId="0" applyFont="1" applyFill="1" applyBorder="1" applyAlignment="1">
      <alignment horizontal="left"/>
    </xf>
    <xf numFmtId="0" fontId="1" fillId="7" borderId="6" xfId="0" applyFont="1" applyFill="1" applyBorder="1" applyAlignment="1">
      <alignment horizontal="left"/>
    </xf>
    <xf numFmtId="0" fontId="1" fillId="7" borderId="7" xfId="0" applyFont="1" applyFill="1" applyBorder="1" applyAlignment="1">
      <alignment horizontal="left"/>
    </xf>
    <xf numFmtId="0" fontId="1" fillId="7" borderId="5" xfId="0" applyFont="1" applyFill="1" applyBorder="1" applyAlignment="1">
      <alignment horizontal="center"/>
    </xf>
    <xf numFmtId="0" fontId="1" fillId="7" borderId="6" xfId="0" applyFont="1" applyFill="1" applyBorder="1" applyAlignment="1">
      <alignment horizontal="center"/>
    </xf>
    <xf numFmtId="0" fontId="1" fillId="7" borderId="7" xfId="0" applyFont="1" applyFill="1" applyBorder="1" applyAlignment="1">
      <alignment horizontal="center"/>
    </xf>
    <xf numFmtId="0" fontId="0" fillId="0" borderId="6" xfId="0" applyBorder="1"/>
    <xf numFmtId="0" fontId="0" fillId="0" borderId="7" xfId="0" applyBorder="1"/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7" borderId="5" xfId="0" applyFont="1" applyFill="1" applyBorder="1" applyAlignment="1"/>
    <xf numFmtId="0" fontId="1" fillId="7" borderId="6" xfId="0" applyFont="1" applyFill="1" applyBorder="1" applyAlignment="1"/>
    <xf numFmtId="0" fontId="1" fillId="7" borderId="7" xfId="0" applyFont="1" applyFill="1" applyBorder="1" applyAlignment="1"/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5" fillId="3" borderId="5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horizontal="center" wrapText="1"/>
    </xf>
    <xf numFmtId="0" fontId="1" fillId="3" borderId="5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165" fontId="0" fillId="8" borderId="5" xfId="0" applyNumberFormat="1" applyFill="1" applyBorder="1" applyAlignment="1">
      <alignment horizontal="center"/>
    </xf>
    <xf numFmtId="165" fontId="0" fillId="8" borderId="6" xfId="0" applyNumberFormat="1" applyFill="1" applyBorder="1" applyAlignment="1">
      <alignment horizontal="center"/>
    </xf>
    <xf numFmtId="165" fontId="4" fillId="0" borderId="1" xfId="0" applyNumberFormat="1" applyFont="1" applyBorder="1" applyAlignment="1">
      <alignment horizontal="center"/>
    </xf>
    <xf numFmtId="165" fontId="4" fillId="8" borderId="1" xfId="0" applyNumberFormat="1" applyFont="1" applyFill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165" fontId="4" fillId="7" borderId="1" xfId="0" applyNumberFormat="1" applyFont="1" applyFill="1" applyBorder="1" applyAlignment="1">
      <alignment horizontal="center"/>
    </xf>
    <xf numFmtId="165" fontId="4" fillId="0" borderId="5" xfId="0" applyNumberFormat="1" applyFont="1" applyBorder="1" applyAlignment="1">
      <alignment horizontal="center"/>
    </xf>
    <xf numFmtId="165" fontId="4" fillId="0" borderId="7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4" fillId="8" borderId="1" xfId="0" applyFont="1" applyFill="1" applyBorder="1" applyAlignment="1">
      <alignment horizontal="center"/>
    </xf>
    <xf numFmtId="165" fontId="0" fillId="0" borderId="5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0" fontId="7" fillId="10" borderId="1" xfId="0" applyFont="1" applyFill="1" applyBorder="1" applyAlignment="1">
      <alignment horizontal="center"/>
    </xf>
    <xf numFmtId="0" fontId="5" fillId="10" borderId="5" xfId="0" applyFont="1" applyFill="1" applyBorder="1" applyAlignment="1">
      <alignment horizontal="center"/>
    </xf>
    <xf numFmtId="0" fontId="5" fillId="10" borderId="6" xfId="0" applyFont="1" applyFill="1" applyBorder="1" applyAlignment="1">
      <alignment horizontal="center"/>
    </xf>
    <xf numFmtId="0" fontId="5" fillId="10" borderId="7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2" fontId="6" fillId="6" borderId="2" xfId="0" applyNumberFormat="1" applyFont="1" applyFill="1" applyBorder="1" applyAlignment="1">
      <alignment horizontal="right"/>
    </xf>
    <xf numFmtId="2" fontId="6" fillId="6" borderId="3" xfId="0" applyNumberFormat="1" applyFont="1" applyFill="1" applyBorder="1" applyAlignment="1">
      <alignment horizontal="right"/>
    </xf>
    <xf numFmtId="0" fontId="6" fillId="6" borderId="2" xfId="0" applyFont="1" applyFill="1" applyBorder="1" applyAlignment="1">
      <alignment horizontal="right"/>
    </xf>
    <xf numFmtId="0" fontId="6" fillId="6" borderId="3" xfId="0" applyFont="1" applyFill="1" applyBorder="1" applyAlignment="1">
      <alignment horizontal="right"/>
    </xf>
    <xf numFmtId="0" fontId="14" fillId="0" borderId="1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270"/>
  <sheetViews>
    <sheetView tabSelected="1" topLeftCell="A163" workbookViewId="0">
      <selection activeCell="A240" sqref="A240:O269"/>
    </sheetView>
  </sheetViews>
  <sheetFormatPr defaultRowHeight="15"/>
  <cols>
    <col min="10" max="10" width="10.7109375" bestFit="1" customWidth="1"/>
    <col min="11" max="11" width="10.28515625" customWidth="1"/>
    <col min="12" max="12" width="12" customWidth="1"/>
    <col min="13" max="13" width="11.5703125" customWidth="1"/>
    <col min="14" max="14" width="10.5703125" bestFit="1" customWidth="1"/>
    <col min="15" max="15" width="11.28515625" customWidth="1"/>
    <col min="16" max="16" width="11.42578125" customWidth="1"/>
    <col min="17" max="17" width="9.42578125" bestFit="1" customWidth="1"/>
    <col min="18" max="18" width="10.5703125" bestFit="1" customWidth="1"/>
    <col min="20" max="22" width="9.42578125" bestFit="1" customWidth="1"/>
    <col min="27" max="27" width="11.42578125" customWidth="1"/>
  </cols>
  <sheetData>
    <row r="1" spans="1:27">
      <c r="J1" s="73" t="s">
        <v>215</v>
      </c>
      <c r="K1" s="73"/>
      <c r="L1" s="73"/>
      <c r="M1" s="73"/>
      <c r="N1" s="73"/>
      <c r="O1" s="73"/>
      <c r="P1" s="73"/>
      <c r="T1" s="1"/>
      <c r="U1" s="1"/>
      <c r="V1" s="1"/>
      <c r="W1" s="1"/>
    </row>
    <row r="2" spans="1:27" ht="33.75" customHeight="1">
      <c r="A2" s="208" t="s">
        <v>2</v>
      </c>
      <c r="B2" s="210" t="s">
        <v>22</v>
      </c>
      <c r="C2" s="211"/>
      <c r="D2" s="212"/>
      <c r="E2" s="216" t="s">
        <v>0</v>
      </c>
      <c r="F2" s="218" t="s">
        <v>7</v>
      </c>
      <c r="G2" s="205" t="s">
        <v>3</v>
      </c>
      <c r="H2" s="206"/>
      <c r="I2" s="206"/>
      <c r="J2" s="207"/>
      <c r="K2" s="205" t="s">
        <v>4</v>
      </c>
      <c r="L2" s="206"/>
      <c r="M2" s="206"/>
      <c r="N2" s="207"/>
      <c r="O2" s="205" t="s">
        <v>5</v>
      </c>
      <c r="P2" s="206"/>
      <c r="Q2" s="206"/>
      <c r="R2" s="207"/>
      <c r="S2" s="205" t="s">
        <v>11</v>
      </c>
      <c r="T2" s="206"/>
      <c r="U2" s="206"/>
      <c r="V2" s="207"/>
      <c r="W2" s="205" t="s">
        <v>12</v>
      </c>
      <c r="X2" s="206"/>
      <c r="Y2" s="206"/>
      <c r="Z2" s="207"/>
    </row>
    <row r="3" spans="1:27" ht="38.25">
      <c r="A3" s="209"/>
      <c r="B3" s="213"/>
      <c r="C3" s="214"/>
      <c r="D3" s="215"/>
      <c r="E3" s="217"/>
      <c r="F3" s="219"/>
      <c r="G3" s="125" t="s">
        <v>8</v>
      </c>
      <c r="H3" s="125" t="s">
        <v>9</v>
      </c>
      <c r="I3" s="125" t="s">
        <v>10</v>
      </c>
      <c r="J3" s="125" t="s">
        <v>16</v>
      </c>
      <c r="K3" s="125" t="s">
        <v>8</v>
      </c>
      <c r="L3" s="125" t="s">
        <v>9</v>
      </c>
      <c r="M3" s="125" t="s">
        <v>10</v>
      </c>
      <c r="N3" s="125" t="s">
        <v>16</v>
      </c>
      <c r="O3" s="125" t="s">
        <v>8</v>
      </c>
      <c r="P3" s="125" t="s">
        <v>9</v>
      </c>
      <c r="Q3" s="125" t="s">
        <v>1</v>
      </c>
      <c r="R3" s="125" t="s">
        <v>16</v>
      </c>
      <c r="S3" s="125" t="s">
        <v>8</v>
      </c>
      <c r="T3" s="125" t="s">
        <v>9</v>
      </c>
      <c r="U3" s="125" t="s">
        <v>15</v>
      </c>
      <c r="V3" s="129" t="s">
        <v>16</v>
      </c>
      <c r="W3" s="125" t="s">
        <v>8</v>
      </c>
      <c r="X3" s="125" t="s">
        <v>9</v>
      </c>
      <c r="Y3" s="125" t="s">
        <v>15</v>
      </c>
      <c r="Z3" s="125" t="s">
        <v>16</v>
      </c>
      <c r="AA3" s="126" t="s">
        <v>58</v>
      </c>
    </row>
    <row r="4" spans="1:27">
      <c r="A4" s="19" t="s">
        <v>6</v>
      </c>
      <c r="B4" s="194" t="s">
        <v>23</v>
      </c>
      <c r="C4" s="195"/>
      <c r="D4" s="196"/>
      <c r="E4" s="20" t="s">
        <v>24</v>
      </c>
      <c r="F4" s="21">
        <v>2900</v>
      </c>
      <c r="G4" s="21">
        <v>296</v>
      </c>
      <c r="H4" s="21">
        <f>F4*G4</f>
        <v>858400</v>
      </c>
      <c r="I4" s="21">
        <v>25</v>
      </c>
      <c r="J4" s="22">
        <f>3011058-J5-14436</f>
        <v>2316622</v>
      </c>
      <c r="K4" s="21">
        <v>111</v>
      </c>
      <c r="L4" s="21">
        <f>K4*F4-102600</f>
        <v>219300</v>
      </c>
      <c r="M4" s="21"/>
      <c r="N4" s="22">
        <f>702809-N5</f>
        <v>582809</v>
      </c>
      <c r="O4" s="21">
        <v>104</v>
      </c>
      <c r="P4" s="21">
        <f>F4*O4</f>
        <v>301600</v>
      </c>
      <c r="Q4" s="21">
        <v>60</v>
      </c>
      <c r="R4" s="133">
        <f>1284393-R5-192997</f>
        <v>871396</v>
      </c>
      <c r="S4" s="21">
        <v>18</v>
      </c>
      <c r="T4" s="21">
        <f>F4*S4</f>
        <v>52200</v>
      </c>
      <c r="U4" s="21">
        <v>300</v>
      </c>
      <c r="V4" s="133">
        <f>301338-V5</f>
        <v>251338</v>
      </c>
      <c r="W4" s="21">
        <v>26</v>
      </c>
      <c r="X4" s="21">
        <f>F4*W4</f>
        <v>75400</v>
      </c>
      <c r="Y4" s="21"/>
      <c r="Z4" s="133">
        <f>557270-Z5</f>
        <v>487270</v>
      </c>
      <c r="AA4" s="101">
        <f>J4+N4+R4+V4+Z4</f>
        <v>4509435</v>
      </c>
    </row>
    <row r="5" spans="1:27">
      <c r="A5" s="19" t="s">
        <v>13</v>
      </c>
      <c r="B5" s="181" t="s">
        <v>30</v>
      </c>
      <c r="C5" s="182"/>
      <c r="D5" s="183"/>
      <c r="E5" s="20" t="s">
        <v>24</v>
      </c>
      <c r="F5" s="21"/>
      <c r="G5" s="21">
        <v>374</v>
      </c>
      <c r="H5" s="21">
        <v>650000</v>
      </c>
      <c r="I5" s="21"/>
      <c r="J5" s="22">
        <v>680000</v>
      </c>
      <c r="K5" s="21">
        <v>155</v>
      </c>
      <c r="L5" s="21">
        <v>150000</v>
      </c>
      <c r="M5" s="21"/>
      <c r="N5" s="22">
        <v>120000</v>
      </c>
      <c r="O5" s="21">
        <v>130</v>
      </c>
      <c r="P5" s="21">
        <v>63480</v>
      </c>
      <c r="Q5" s="21"/>
      <c r="R5" s="133">
        <v>220000</v>
      </c>
      <c r="S5" s="21">
        <v>18</v>
      </c>
      <c r="T5" s="21">
        <v>27370</v>
      </c>
      <c r="U5" s="21"/>
      <c r="V5" s="133">
        <v>50000</v>
      </c>
      <c r="W5" s="23">
        <v>40</v>
      </c>
      <c r="X5" s="21">
        <v>12190</v>
      </c>
      <c r="Y5" s="21"/>
      <c r="Z5" s="133">
        <v>70000</v>
      </c>
      <c r="AA5" s="101">
        <f t="shared" ref="AA5:AA19" si="0">J5+N5+R5+V5+Z5</f>
        <v>1140000</v>
      </c>
    </row>
    <row r="6" spans="1:27">
      <c r="A6" s="19" t="s">
        <v>14</v>
      </c>
      <c r="B6" s="174" t="s">
        <v>31</v>
      </c>
      <c r="C6" s="175"/>
      <c r="D6" s="176"/>
      <c r="E6" s="20" t="s">
        <v>24</v>
      </c>
      <c r="F6" s="21">
        <v>700</v>
      </c>
      <c r="G6" s="21">
        <v>1</v>
      </c>
      <c r="H6" s="21">
        <f>F6*G6</f>
        <v>700</v>
      </c>
      <c r="I6" s="21"/>
      <c r="J6" s="51"/>
      <c r="K6" s="21"/>
      <c r="L6" s="21">
        <f>F6*K6</f>
        <v>0</v>
      </c>
      <c r="M6" s="21"/>
      <c r="N6" s="21"/>
      <c r="O6" s="21"/>
      <c r="P6" s="21">
        <f>F6*O6</f>
        <v>0</v>
      </c>
      <c r="Q6" s="21"/>
      <c r="R6" s="21"/>
      <c r="S6" s="21"/>
      <c r="T6" s="21">
        <f>F6*S6</f>
        <v>0</v>
      </c>
      <c r="U6" s="21"/>
      <c r="V6" s="51"/>
      <c r="W6" s="21">
        <v>1</v>
      </c>
      <c r="X6" s="21">
        <f>W6*F6</f>
        <v>700</v>
      </c>
      <c r="Y6" s="21"/>
      <c r="Z6" s="21"/>
      <c r="AA6" s="101">
        <f t="shared" si="0"/>
        <v>0</v>
      </c>
    </row>
    <row r="7" spans="1:27">
      <c r="A7" s="19" t="s">
        <v>17</v>
      </c>
      <c r="B7" s="174" t="s">
        <v>32</v>
      </c>
      <c r="C7" s="175"/>
      <c r="D7" s="176"/>
      <c r="E7" s="20" t="s">
        <v>24</v>
      </c>
      <c r="F7" s="21"/>
      <c r="G7" s="21">
        <v>50</v>
      </c>
      <c r="H7" s="21">
        <f>F7*G6</f>
        <v>0</v>
      </c>
      <c r="I7" s="21">
        <v>47</v>
      </c>
      <c r="J7" s="133">
        <v>782417</v>
      </c>
      <c r="K7" s="21">
        <v>26</v>
      </c>
      <c r="L7" s="21">
        <f>F7*K6</f>
        <v>0</v>
      </c>
      <c r="M7" s="21"/>
      <c r="N7" s="133">
        <v>12456</v>
      </c>
      <c r="O7" s="21">
        <v>50</v>
      </c>
      <c r="P7" s="21">
        <f>O6*F7</f>
        <v>0</v>
      </c>
      <c r="Q7" s="21">
        <v>250</v>
      </c>
      <c r="R7" s="133">
        <v>441037</v>
      </c>
      <c r="S7" s="21">
        <v>1</v>
      </c>
      <c r="T7" s="21">
        <f>F7*S6</f>
        <v>0</v>
      </c>
      <c r="U7" s="21"/>
      <c r="V7" s="133">
        <v>450396</v>
      </c>
      <c r="W7" s="21">
        <v>13</v>
      </c>
      <c r="X7" s="21">
        <f>W6*F7</f>
        <v>0</v>
      </c>
      <c r="Y7" s="21"/>
      <c r="Z7" s="133">
        <v>517996</v>
      </c>
      <c r="AA7" s="101">
        <f t="shared" si="0"/>
        <v>2204302</v>
      </c>
    </row>
    <row r="8" spans="1:27">
      <c r="A8" s="19" t="s">
        <v>34</v>
      </c>
      <c r="B8" s="174" t="s">
        <v>35</v>
      </c>
      <c r="C8" s="175"/>
      <c r="D8" s="176"/>
      <c r="E8" s="20" t="s">
        <v>24</v>
      </c>
      <c r="F8" s="21">
        <v>1800</v>
      </c>
      <c r="G8" s="21">
        <v>30</v>
      </c>
      <c r="H8" s="21">
        <f>F8*G6</f>
        <v>1800</v>
      </c>
      <c r="I8" s="21">
        <v>8</v>
      </c>
      <c r="J8" s="134">
        <f>1058361+119500</f>
        <v>1177861</v>
      </c>
      <c r="K8" s="21">
        <v>1</v>
      </c>
      <c r="L8" s="21">
        <f>F8*K6</f>
        <v>0</v>
      </c>
      <c r="M8" s="21">
        <v>24</v>
      </c>
      <c r="N8" s="133">
        <f>551595+137000</f>
        <v>688595</v>
      </c>
      <c r="O8" s="21"/>
      <c r="P8" s="21">
        <f>F8*O6</f>
        <v>0</v>
      </c>
      <c r="Q8" s="21">
        <v>30</v>
      </c>
      <c r="R8" s="133">
        <f>732827+126000</f>
        <v>858827</v>
      </c>
      <c r="S8" s="21"/>
      <c r="T8" s="21">
        <f>F8*S6</f>
        <v>0</v>
      </c>
      <c r="U8" s="21"/>
      <c r="V8" s="133">
        <f>384260+60000</f>
        <v>444260</v>
      </c>
      <c r="W8" s="21"/>
      <c r="X8" s="21">
        <f>F8*W6</f>
        <v>1800</v>
      </c>
      <c r="Y8" s="21"/>
      <c r="Z8" s="133">
        <f>551193+72500</f>
        <v>623693</v>
      </c>
      <c r="AA8" s="101">
        <f t="shared" si="0"/>
        <v>3793236</v>
      </c>
    </row>
    <row r="9" spans="1:27">
      <c r="A9" s="24" t="s">
        <v>36</v>
      </c>
      <c r="B9" s="174" t="s">
        <v>37</v>
      </c>
      <c r="C9" s="175"/>
      <c r="D9" s="176"/>
      <c r="E9" s="20" t="s">
        <v>24</v>
      </c>
      <c r="F9" s="21">
        <v>120</v>
      </c>
      <c r="G9" s="21">
        <f>SUM(G4:G8)</f>
        <v>751</v>
      </c>
      <c r="H9" s="21">
        <f>F9*G6+2440</f>
        <v>2560</v>
      </c>
      <c r="I9" s="21">
        <v>-15</v>
      </c>
      <c r="J9" s="22">
        <v>189000</v>
      </c>
      <c r="K9" s="21">
        <f>SUM(K4:K8)</f>
        <v>293</v>
      </c>
      <c r="L9" s="21"/>
      <c r="M9" s="21">
        <v>50</v>
      </c>
      <c r="N9" s="133">
        <v>90000</v>
      </c>
      <c r="O9" s="21">
        <f>SUM(O4:O7)</f>
        <v>284</v>
      </c>
      <c r="P9" s="21"/>
      <c r="Q9" s="21"/>
      <c r="R9" s="133">
        <v>120000</v>
      </c>
      <c r="S9" s="77">
        <f>SUM(S4:S8)</f>
        <v>37</v>
      </c>
      <c r="T9" s="21"/>
      <c r="U9" s="21"/>
      <c r="V9" s="133">
        <v>40000</v>
      </c>
      <c r="W9" s="21">
        <f>SUM(W4:W8)</f>
        <v>80</v>
      </c>
      <c r="X9" s="21"/>
      <c r="Y9" s="21"/>
      <c r="Z9" s="133">
        <v>80000</v>
      </c>
      <c r="AA9" s="101">
        <f t="shared" si="0"/>
        <v>519000</v>
      </c>
    </row>
    <row r="10" spans="1:27" ht="24" customHeight="1">
      <c r="A10" s="128" t="s">
        <v>38</v>
      </c>
      <c r="B10" s="184" t="s">
        <v>39</v>
      </c>
      <c r="C10" s="185"/>
      <c r="D10" s="186"/>
      <c r="E10" s="127" t="s">
        <v>24</v>
      </c>
      <c r="F10" s="25">
        <v>1170</v>
      </c>
      <c r="G10" s="25">
        <v>88</v>
      </c>
      <c r="H10" s="25">
        <f>F10*G6</f>
        <v>1170</v>
      </c>
      <c r="I10" s="25"/>
      <c r="J10" s="132">
        <v>1167104</v>
      </c>
      <c r="K10" s="25"/>
      <c r="L10" s="25">
        <f>K6*F10</f>
        <v>0</v>
      </c>
      <c r="M10" s="25">
        <v>30</v>
      </c>
      <c r="N10" s="135">
        <v>718198</v>
      </c>
      <c r="O10" s="25"/>
      <c r="P10" s="25">
        <f>F10*O6</f>
        <v>0</v>
      </c>
      <c r="Q10" s="25">
        <v>25</v>
      </c>
      <c r="R10" s="135">
        <v>603079</v>
      </c>
      <c r="S10" s="25"/>
      <c r="T10" s="25"/>
      <c r="U10" s="25"/>
      <c r="V10" s="135">
        <v>145000</v>
      </c>
      <c r="W10" s="25">
        <v>15</v>
      </c>
      <c r="X10" s="25">
        <f>W6*F10</f>
        <v>1170</v>
      </c>
      <c r="Y10" s="25"/>
      <c r="Z10" s="133">
        <v>278724</v>
      </c>
      <c r="AA10" s="101">
        <f t="shared" si="0"/>
        <v>2912105</v>
      </c>
    </row>
    <row r="11" spans="1:27">
      <c r="A11" s="26" t="s">
        <v>40</v>
      </c>
      <c r="B11" s="180" t="s">
        <v>46</v>
      </c>
      <c r="C11" s="180"/>
      <c r="D11" s="180"/>
      <c r="E11" s="127" t="s">
        <v>24</v>
      </c>
      <c r="F11" s="21">
        <v>100</v>
      </c>
      <c r="G11" s="21">
        <f>G9+G10</f>
        <v>839</v>
      </c>
      <c r="H11" s="21">
        <f>F11*G6</f>
        <v>100</v>
      </c>
      <c r="I11" s="21"/>
      <c r="J11" s="22">
        <v>57090</v>
      </c>
      <c r="K11" s="21"/>
      <c r="L11" s="21">
        <f>F11*K6</f>
        <v>0</v>
      </c>
      <c r="M11" s="21"/>
      <c r="N11" s="133">
        <v>19930</v>
      </c>
      <c r="O11" s="21"/>
      <c r="P11" s="21">
        <f>F11*O6</f>
        <v>0</v>
      </c>
      <c r="Q11" s="21"/>
      <c r="R11" s="133">
        <v>23563</v>
      </c>
      <c r="S11" s="21">
        <v>15</v>
      </c>
      <c r="T11" s="21">
        <f>S6*F11</f>
        <v>0</v>
      </c>
      <c r="U11" s="21"/>
      <c r="V11" s="133">
        <v>5190</v>
      </c>
      <c r="W11" s="21">
        <v>18</v>
      </c>
      <c r="X11" s="21">
        <v>12900</v>
      </c>
      <c r="Y11" s="21"/>
      <c r="Z11" s="133">
        <v>10380</v>
      </c>
      <c r="AA11" s="101">
        <f t="shared" si="0"/>
        <v>116153</v>
      </c>
    </row>
    <row r="12" spans="1:27">
      <c r="A12" s="19" t="s">
        <v>42</v>
      </c>
      <c r="B12" s="194" t="s">
        <v>47</v>
      </c>
      <c r="C12" s="195"/>
      <c r="D12" s="196"/>
      <c r="E12" s="127" t="s">
        <v>24</v>
      </c>
      <c r="F12" s="21"/>
      <c r="G12" s="21"/>
      <c r="H12" s="21"/>
      <c r="I12" s="21"/>
      <c r="J12" s="22">
        <v>129300</v>
      </c>
      <c r="K12" s="21"/>
      <c r="L12" s="21"/>
      <c r="M12" s="21"/>
      <c r="N12" s="133">
        <f>153500+8100</f>
        <v>161600</v>
      </c>
      <c r="O12" s="21"/>
      <c r="P12" s="21"/>
      <c r="Q12" s="21"/>
      <c r="R12" s="117"/>
      <c r="S12" s="21">
        <f>S9+S10+S11</f>
        <v>52</v>
      </c>
      <c r="T12" s="21"/>
      <c r="U12" s="21"/>
      <c r="V12" s="133">
        <v>20200</v>
      </c>
      <c r="W12" s="21">
        <f>W9+W10+W11</f>
        <v>113</v>
      </c>
      <c r="X12" s="21"/>
      <c r="Y12" s="21"/>
      <c r="AA12" s="101">
        <f>J12+N12+R12+V12</f>
        <v>311100</v>
      </c>
    </row>
    <row r="13" spans="1:27" ht="30.75" customHeight="1">
      <c r="A13" s="19" t="s">
        <v>44</v>
      </c>
      <c r="B13" s="197" t="s">
        <v>145</v>
      </c>
      <c r="C13" s="198"/>
      <c r="D13" s="199"/>
      <c r="E13" s="127" t="s">
        <v>24</v>
      </c>
      <c r="F13" s="130"/>
      <c r="G13" s="130"/>
      <c r="H13" s="130"/>
      <c r="I13" s="130"/>
      <c r="J13" s="95"/>
      <c r="K13" s="130"/>
      <c r="L13" s="130"/>
      <c r="M13" s="130"/>
      <c r="N13" s="19"/>
      <c r="O13" s="130"/>
      <c r="P13" s="130"/>
      <c r="Q13" s="130"/>
      <c r="R13" s="19"/>
      <c r="S13" s="130"/>
      <c r="T13" s="130"/>
      <c r="U13" s="130"/>
      <c r="V13" s="147">
        <v>8640</v>
      </c>
      <c r="W13" s="130"/>
      <c r="X13" s="130"/>
      <c r="Y13" s="130"/>
      <c r="Z13" s="147">
        <v>14040</v>
      </c>
      <c r="AA13" s="101">
        <f t="shared" si="0"/>
        <v>22680</v>
      </c>
    </row>
    <row r="14" spans="1:27">
      <c r="A14" s="27" t="s">
        <v>48</v>
      </c>
      <c r="B14" s="200" t="s">
        <v>146</v>
      </c>
      <c r="C14" s="201"/>
      <c r="D14" s="202"/>
      <c r="E14" s="127" t="s">
        <v>24</v>
      </c>
      <c r="F14" s="28"/>
      <c r="G14" s="25"/>
      <c r="H14" s="25"/>
      <c r="I14" s="25"/>
      <c r="J14" s="135">
        <v>375800</v>
      </c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94"/>
      <c r="W14" s="25"/>
      <c r="X14" s="25"/>
      <c r="Y14" s="25"/>
      <c r="Z14" s="21"/>
      <c r="AA14" s="101">
        <f t="shared" si="0"/>
        <v>375800</v>
      </c>
    </row>
    <row r="15" spans="1:27">
      <c r="A15" s="27" t="s">
        <v>49</v>
      </c>
      <c r="B15" s="197" t="s">
        <v>148</v>
      </c>
      <c r="C15" s="198"/>
      <c r="D15" s="199"/>
      <c r="E15" s="127"/>
      <c r="F15" s="28"/>
      <c r="G15" s="25"/>
      <c r="H15" s="25"/>
      <c r="I15" s="25"/>
      <c r="J15" s="135">
        <v>4386173</v>
      </c>
      <c r="K15" s="25"/>
      <c r="L15" s="25"/>
      <c r="M15" s="25"/>
      <c r="N15" s="135">
        <v>323560</v>
      </c>
      <c r="O15" s="25"/>
      <c r="P15" s="25"/>
      <c r="Q15" s="25"/>
      <c r="R15" s="135">
        <v>445837</v>
      </c>
      <c r="S15" s="25"/>
      <c r="T15" s="25"/>
      <c r="U15" s="25"/>
      <c r="V15" s="94"/>
      <c r="W15" s="25"/>
      <c r="X15" s="25"/>
      <c r="Y15" s="25"/>
      <c r="Z15" s="133">
        <v>237407</v>
      </c>
      <c r="AA15" s="101">
        <f t="shared" si="0"/>
        <v>5392977</v>
      </c>
    </row>
    <row r="16" spans="1:27">
      <c r="A16" s="19" t="s">
        <v>50</v>
      </c>
      <c r="B16" s="194" t="s">
        <v>41</v>
      </c>
      <c r="C16" s="195"/>
      <c r="D16" s="196"/>
      <c r="E16" s="127" t="s">
        <v>24</v>
      </c>
      <c r="F16" s="130"/>
      <c r="G16" s="21"/>
      <c r="H16" s="21"/>
      <c r="I16" s="21"/>
      <c r="J16" s="133">
        <v>1558729</v>
      </c>
      <c r="K16" s="21"/>
      <c r="L16" s="21"/>
      <c r="M16" s="21"/>
      <c r="N16" s="133">
        <v>26133</v>
      </c>
      <c r="O16" s="21"/>
      <c r="P16" s="21"/>
      <c r="Q16" s="21"/>
      <c r="R16" s="133">
        <v>3294905</v>
      </c>
      <c r="S16" s="21"/>
      <c r="T16" s="21"/>
      <c r="U16" s="21"/>
      <c r="V16" s="133">
        <v>155502</v>
      </c>
      <c r="W16" s="21"/>
      <c r="X16" s="21"/>
      <c r="Y16" s="21"/>
      <c r="Z16" s="133">
        <v>1439629</v>
      </c>
      <c r="AA16" s="101">
        <f t="shared" si="0"/>
        <v>6474898</v>
      </c>
    </row>
    <row r="17" spans="1:27">
      <c r="A17" s="27" t="s">
        <v>113</v>
      </c>
      <c r="B17" s="194" t="s">
        <v>51</v>
      </c>
      <c r="C17" s="195"/>
      <c r="D17" s="196"/>
      <c r="E17" s="127" t="s">
        <v>24</v>
      </c>
      <c r="F17" s="28"/>
      <c r="G17" s="25"/>
      <c r="H17" s="25"/>
      <c r="I17" s="25"/>
      <c r="J17" s="135">
        <v>5851405</v>
      </c>
      <c r="K17" s="25"/>
      <c r="L17" s="25"/>
      <c r="M17" s="25"/>
      <c r="N17" s="25"/>
      <c r="O17" s="25"/>
      <c r="P17" s="25"/>
      <c r="Q17" s="25"/>
      <c r="R17" s="135">
        <v>4213930</v>
      </c>
      <c r="S17" s="25"/>
      <c r="T17" s="25"/>
      <c r="U17" s="25"/>
      <c r="V17" s="135">
        <v>1915346</v>
      </c>
      <c r="W17" s="25"/>
      <c r="X17" s="25"/>
      <c r="Y17" s="25"/>
      <c r="Z17" s="133">
        <v>2188090</v>
      </c>
      <c r="AA17" s="101">
        <f t="shared" si="0"/>
        <v>14168771</v>
      </c>
    </row>
    <row r="18" spans="1:27">
      <c r="A18" s="27" t="s">
        <v>147</v>
      </c>
      <c r="B18" s="194" t="s">
        <v>150</v>
      </c>
      <c r="C18" s="195"/>
      <c r="D18" s="196"/>
      <c r="E18" s="127" t="s">
        <v>24</v>
      </c>
      <c r="F18" s="28"/>
      <c r="G18" s="25"/>
      <c r="H18" s="25"/>
      <c r="I18" s="25"/>
      <c r="J18" s="135">
        <v>347300</v>
      </c>
      <c r="K18" s="25"/>
      <c r="L18" s="25"/>
      <c r="M18" s="25"/>
      <c r="N18" s="135">
        <v>250200</v>
      </c>
      <c r="O18" s="25"/>
      <c r="P18" s="25"/>
      <c r="Q18" s="25"/>
      <c r="R18" s="135">
        <v>400700</v>
      </c>
      <c r="S18" s="25"/>
      <c r="T18" s="25"/>
      <c r="U18" s="25"/>
      <c r="V18" s="25"/>
      <c r="W18" s="25"/>
      <c r="X18" s="25"/>
      <c r="Y18" s="25"/>
      <c r="Z18" s="133">
        <v>107300</v>
      </c>
      <c r="AA18" s="101">
        <f t="shared" si="0"/>
        <v>1105500</v>
      </c>
    </row>
    <row r="19" spans="1:27">
      <c r="A19" s="19" t="s">
        <v>149</v>
      </c>
      <c r="B19" s="194" t="s">
        <v>114</v>
      </c>
      <c r="C19" s="195"/>
      <c r="D19" s="196"/>
      <c r="E19" s="127" t="s">
        <v>24</v>
      </c>
      <c r="F19" s="28"/>
      <c r="G19" s="25"/>
      <c r="H19" s="25"/>
      <c r="I19" s="25"/>
      <c r="J19" s="94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1"/>
      <c r="AA19" s="101">
        <f t="shared" si="0"/>
        <v>0</v>
      </c>
    </row>
    <row r="20" spans="1:27">
      <c r="A20" s="191" t="s">
        <v>115</v>
      </c>
      <c r="B20" s="192"/>
      <c r="C20" s="192"/>
      <c r="D20" s="193"/>
      <c r="E20" s="29"/>
      <c r="F20" s="29"/>
      <c r="G20" s="29"/>
      <c r="H20" s="29"/>
      <c r="I20" s="29"/>
      <c r="J20" s="29">
        <f>SUM(J4:J19)</f>
        <v>19018801</v>
      </c>
      <c r="K20" s="29"/>
      <c r="L20" s="29"/>
      <c r="M20" s="29"/>
      <c r="N20" s="29">
        <f>SUM(N4:N19)</f>
        <v>2993481</v>
      </c>
      <c r="O20" s="29"/>
      <c r="P20" s="29"/>
      <c r="Q20" s="29"/>
      <c r="R20" s="29">
        <f>SUM(R4:R19)</f>
        <v>11493274</v>
      </c>
      <c r="S20" s="29"/>
      <c r="T20" s="29"/>
      <c r="U20" s="29"/>
      <c r="V20" s="29">
        <f>SUM(V4:V19)</f>
        <v>3485872</v>
      </c>
      <c r="W20" s="29"/>
      <c r="X20" s="29"/>
      <c r="Y20" s="29"/>
      <c r="Z20" s="29">
        <f>SUM(Z4:Z19)</f>
        <v>6054529</v>
      </c>
      <c r="AA20" s="101">
        <f>SUM(AA4:AA19)</f>
        <v>43045957</v>
      </c>
    </row>
    <row r="21" spans="1:27">
      <c r="A21" s="23"/>
      <c r="B21" s="23" t="s">
        <v>61</v>
      </c>
      <c r="C21" s="23"/>
      <c r="D21" s="23"/>
      <c r="E21" s="23"/>
      <c r="F21" s="23"/>
      <c r="G21" s="23"/>
      <c r="H21" s="23"/>
      <c r="I21" s="23"/>
      <c r="J21" s="46">
        <f>J20/(G9+G10)</f>
        <v>22668.415971394516</v>
      </c>
      <c r="K21" s="23"/>
      <c r="L21" s="23"/>
      <c r="M21" s="23"/>
      <c r="N21" s="46">
        <f>N20/K9</f>
        <v>10216.658703071673</v>
      </c>
      <c r="O21" s="23"/>
      <c r="P21" s="23"/>
      <c r="Q21" s="23"/>
      <c r="R21" s="46">
        <f>R20/O9</f>
        <v>40469.274647887323</v>
      </c>
      <c r="S21" s="23"/>
      <c r="T21" s="23"/>
      <c r="U21" s="23"/>
      <c r="V21" s="46">
        <f>V20/S12</f>
        <v>67036</v>
      </c>
      <c r="W21" s="23"/>
      <c r="X21" s="23"/>
      <c r="Y21" s="23"/>
      <c r="Z21" s="46">
        <f>Z20/W12</f>
        <v>53579.902654867255</v>
      </c>
    </row>
    <row r="22" spans="1:27">
      <c r="A22" s="23"/>
      <c r="B22" s="23"/>
      <c r="C22" s="23"/>
      <c r="D22" s="23"/>
      <c r="E22" s="23"/>
      <c r="F22" s="23"/>
      <c r="G22" s="23"/>
      <c r="H22" s="23"/>
      <c r="I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</row>
    <row r="23" spans="1:27" ht="16.5">
      <c r="A23" s="23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30"/>
      <c r="M23" s="162" t="s">
        <v>172</v>
      </c>
      <c r="N23" s="30"/>
      <c r="O23" s="30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</row>
    <row r="24" spans="1:27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4" t="s">
        <v>217</v>
      </c>
      <c r="M24" s="4"/>
      <c r="N24" s="30"/>
      <c r="O24" s="30"/>
      <c r="Q24" s="23"/>
      <c r="R24" s="23">
        <f>(J7+J8+J16-J41)/G11*G4</f>
        <v>1169029.8898086576</v>
      </c>
      <c r="S24" s="23">
        <f>(J17-J34)/G11*G4</f>
        <v>1619722.4054835697</v>
      </c>
      <c r="T24" s="87">
        <f>R24+S24</f>
        <v>2788752.2952922275</v>
      </c>
      <c r="U24" s="23"/>
      <c r="V24" s="23"/>
      <c r="W24" s="23"/>
      <c r="X24" s="23"/>
      <c r="Y24" s="23"/>
      <c r="Z24" s="23"/>
    </row>
    <row r="25" spans="1:27" ht="30">
      <c r="A25" s="224" t="s">
        <v>152</v>
      </c>
      <c r="B25" s="225"/>
      <c r="C25" s="225"/>
      <c r="D25" s="225"/>
      <c r="E25" s="225"/>
      <c r="F25" s="225"/>
      <c r="G25" s="225"/>
      <c r="H25" s="225"/>
      <c r="I25" s="226"/>
      <c r="J25" s="17" t="s">
        <v>94</v>
      </c>
      <c r="K25" s="17" t="s">
        <v>95</v>
      </c>
      <c r="L25" s="16" t="s">
        <v>96</v>
      </c>
      <c r="M25" s="17" t="s">
        <v>97</v>
      </c>
      <c r="N25" s="17" t="s">
        <v>98</v>
      </c>
      <c r="O25" s="17" t="s">
        <v>93</v>
      </c>
      <c r="P25" s="23"/>
      <c r="Q25" s="23" t="s">
        <v>193</v>
      </c>
      <c r="R25" s="23"/>
      <c r="S25" s="23"/>
      <c r="T25" s="23"/>
      <c r="U25" s="23"/>
      <c r="V25" s="23"/>
      <c r="W25" s="23"/>
      <c r="X25" s="23"/>
      <c r="Y25" s="23"/>
      <c r="Z25" s="23"/>
    </row>
    <row r="26" spans="1:27" ht="21.75" customHeight="1">
      <c r="A26" s="271" t="s">
        <v>137</v>
      </c>
      <c r="B26" s="272"/>
      <c r="C26" s="272"/>
      <c r="D26" s="272"/>
      <c r="E26" s="272"/>
      <c r="F26" s="272"/>
      <c r="G26" s="272"/>
      <c r="H26" s="272"/>
      <c r="I26" s="272"/>
      <c r="J26" s="272"/>
      <c r="K26" s="272"/>
      <c r="L26" s="272"/>
      <c r="M26" s="272"/>
      <c r="N26" s="272"/>
      <c r="O26" s="27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</row>
    <row r="27" spans="1:27">
      <c r="A27" s="266" t="s">
        <v>80</v>
      </c>
      <c r="B27" s="267"/>
      <c r="C27" s="267"/>
      <c r="D27" s="267"/>
      <c r="E27" s="267"/>
      <c r="F27" s="267"/>
      <c r="G27" s="267"/>
      <c r="H27" s="267"/>
      <c r="I27" s="268"/>
      <c r="J27" s="76">
        <f>J28+J30+J31</f>
        <v>1685087.2896305125</v>
      </c>
      <c r="K27" s="76">
        <f>K28+K30+K31</f>
        <v>741579.54607508541</v>
      </c>
      <c r="L27" s="76">
        <f t="shared" ref="L27:N27" si="1">L28+L30+L31</f>
        <v>673084.338028169</v>
      </c>
      <c r="M27" s="76">
        <f t="shared" si="1"/>
        <v>190344.30769230769</v>
      </c>
      <c r="N27" s="76">
        <f t="shared" si="1"/>
        <v>213148</v>
      </c>
      <c r="O27" s="76">
        <f>SUM(J27:N27)</f>
        <v>3503243.4814260746</v>
      </c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</row>
    <row r="28" spans="1:27" ht="15" customHeight="1">
      <c r="A28" s="248" t="s">
        <v>120</v>
      </c>
      <c r="B28" s="269"/>
      <c r="C28" s="269"/>
      <c r="D28" s="269"/>
      <c r="E28" s="269"/>
      <c r="F28" s="269"/>
      <c r="G28" s="269"/>
      <c r="H28" s="269"/>
      <c r="I28" s="270"/>
      <c r="J28" s="2">
        <f>J12</f>
        <v>129300</v>
      </c>
      <c r="K28" s="2">
        <f>N12</f>
        <v>161600</v>
      </c>
      <c r="L28" s="21"/>
      <c r="M28" s="2">
        <f>V12</f>
        <v>20200</v>
      </c>
      <c r="N28" s="2">
        <f>Z12</f>
        <v>0</v>
      </c>
      <c r="O28" s="76">
        <f t="shared" ref="O28:O43" si="2">SUM(J28:N28)</f>
        <v>311100</v>
      </c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</row>
    <row r="29" spans="1:27">
      <c r="A29" s="164" t="s">
        <v>121</v>
      </c>
      <c r="B29" s="227"/>
      <c r="C29" s="227"/>
      <c r="D29" s="227"/>
      <c r="E29" s="227"/>
      <c r="F29" s="227"/>
      <c r="G29" s="227"/>
      <c r="H29" s="227"/>
      <c r="I29" s="165"/>
      <c r="J29" s="11">
        <f>J30</f>
        <v>478434.7842669845</v>
      </c>
      <c r="K29" s="11">
        <f t="shared" ref="K29:N29" si="3">K30</f>
        <v>306177.39931740618</v>
      </c>
      <c r="L29" s="11">
        <f t="shared" si="3"/>
        <v>264789.49295774644</v>
      </c>
      <c r="M29" s="11">
        <f t="shared" si="3"/>
        <v>64038.461538461539</v>
      </c>
      <c r="N29" s="11">
        <f t="shared" si="3"/>
        <v>82538.265486725664</v>
      </c>
      <c r="O29" s="76">
        <f t="shared" si="2"/>
        <v>1195978.4035673242</v>
      </c>
      <c r="P29" s="87"/>
      <c r="Q29" s="23"/>
      <c r="R29" s="87"/>
      <c r="S29" s="23"/>
      <c r="T29" s="23"/>
      <c r="U29" s="23"/>
      <c r="V29" s="23"/>
      <c r="W29" s="23"/>
      <c r="X29" s="23"/>
      <c r="Y29" s="23"/>
      <c r="Z29" s="23"/>
    </row>
    <row r="30" spans="1:27" ht="36" customHeight="1">
      <c r="A30" s="233" t="s">
        <v>122</v>
      </c>
      <c r="B30" s="234"/>
      <c r="C30" s="234"/>
      <c r="D30" s="234"/>
      <c r="E30" s="234"/>
      <c r="F30" s="234"/>
      <c r="G30" s="234"/>
      <c r="H30" s="234"/>
      <c r="I30" s="235"/>
      <c r="J30" s="15">
        <f>(J9+J10)/G11*G4</f>
        <v>478434.7842669845</v>
      </c>
      <c r="K30" s="15">
        <f>(N9+N10)/K9*K4</f>
        <v>306177.39931740618</v>
      </c>
      <c r="L30" s="15">
        <f>(R9+R10)/O9*O4</f>
        <v>264789.49295774644</v>
      </c>
      <c r="M30" s="15">
        <f>(V9+V10)/S12*S4</f>
        <v>64038.461538461539</v>
      </c>
      <c r="N30" s="15">
        <f>(Z9+Z10)/W12*W4</f>
        <v>82538.265486725664</v>
      </c>
      <c r="O30" s="76">
        <f t="shared" si="2"/>
        <v>1195978.4035673242</v>
      </c>
      <c r="P30" s="87"/>
      <c r="Q30" s="23"/>
      <c r="R30" s="23">
        <f>(J4+J5+J7+J8+J9+J10+J11+J16+J17)/G11*G4+J12</f>
        <v>4990977.57806913</v>
      </c>
      <c r="S30" s="23"/>
      <c r="T30" s="23"/>
      <c r="U30" s="87"/>
      <c r="V30" s="23"/>
      <c r="W30" s="87"/>
      <c r="X30" s="23"/>
      <c r="Y30" s="23"/>
      <c r="Z30" s="23"/>
    </row>
    <row r="31" spans="1:27">
      <c r="A31" s="164" t="s">
        <v>123</v>
      </c>
      <c r="B31" s="227"/>
      <c r="C31" s="227"/>
      <c r="D31" s="227"/>
      <c r="E31" s="227"/>
      <c r="F31" s="227"/>
      <c r="G31" s="227"/>
      <c r="H31" s="227"/>
      <c r="I31" s="165"/>
      <c r="J31" s="15">
        <f>(J4+J5+J11)/G11*G4</f>
        <v>1077352.5053635279</v>
      </c>
      <c r="K31" s="15">
        <f>(N4+N5+N11)/K9*K4</f>
        <v>273802.14675767918</v>
      </c>
      <c r="L31" s="15">
        <f>(R5+R4+R11)/O9*O4</f>
        <v>408294.84507042251</v>
      </c>
      <c r="M31" s="15">
        <f>(V4+V5+V11)/S12*S4</f>
        <v>106105.84615384616</v>
      </c>
      <c r="N31" s="15">
        <f>(Z4+Z5+Z11)/W12*W4</f>
        <v>130609.73451327435</v>
      </c>
      <c r="O31" s="76">
        <f t="shared" si="2"/>
        <v>1996165.0778587505</v>
      </c>
      <c r="P31" s="11"/>
      <c r="Q31" s="23"/>
      <c r="R31" s="87"/>
      <c r="S31" s="23"/>
      <c r="T31" s="23"/>
      <c r="U31" s="46"/>
      <c r="V31" s="23"/>
      <c r="W31" s="23"/>
      <c r="X31" s="23"/>
      <c r="Y31" s="23"/>
      <c r="Z31" s="23"/>
    </row>
    <row r="32" spans="1:27">
      <c r="A32" s="266" t="s">
        <v>87</v>
      </c>
      <c r="B32" s="267"/>
      <c r="C32" s="267"/>
      <c r="D32" s="267"/>
      <c r="E32" s="267"/>
      <c r="F32" s="267"/>
      <c r="G32" s="267"/>
      <c r="H32" s="267"/>
      <c r="I32" s="268"/>
      <c r="J32" s="76">
        <f>J33+J34+J38+J39+J40+J42</f>
        <v>3305890.2884386177</v>
      </c>
      <c r="K32" s="76">
        <f>K33+K34+K38+K39+K40+K42</f>
        <v>275486.08873720135</v>
      </c>
      <c r="L32" s="76">
        <f t="shared" ref="L32:N32" si="4">L33+L34+L38+L39+L40+L42</f>
        <v>3225720.7605633801</v>
      </c>
      <c r="M32" s="76">
        <f t="shared" si="4"/>
        <v>1026520.6153846154</v>
      </c>
      <c r="N32" s="76">
        <f t="shared" si="4"/>
        <v>1097385.9115044249</v>
      </c>
      <c r="O32" s="76">
        <f t="shared" si="2"/>
        <v>8931003.6646282393</v>
      </c>
      <c r="P32" s="23"/>
      <c r="Q32" s="23"/>
      <c r="R32" s="23"/>
      <c r="S32" s="23"/>
      <c r="T32" s="23"/>
      <c r="U32" s="87"/>
      <c r="V32" s="23"/>
      <c r="W32" s="87"/>
      <c r="X32" s="23"/>
      <c r="Y32" s="23"/>
      <c r="Z32" s="23"/>
    </row>
    <row r="33" spans="1:26" ht="25.5" customHeight="1">
      <c r="A33" s="233" t="s">
        <v>125</v>
      </c>
      <c r="B33" s="234"/>
      <c r="C33" s="234"/>
      <c r="D33" s="234"/>
      <c r="E33" s="234"/>
      <c r="F33" s="234"/>
      <c r="G33" s="234"/>
      <c r="H33" s="234"/>
      <c r="I33" s="235"/>
      <c r="J33" s="15"/>
      <c r="K33" s="15"/>
      <c r="L33" s="15"/>
      <c r="M33" s="15"/>
      <c r="N33" s="15"/>
      <c r="O33" s="76">
        <f t="shared" si="2"/>
        <v>0</v>
      </c>
      <c r="P33" s="23"/>
      <c r="Q33" s="23"/>
      <c r="R33" s="23">
        <f>(J7+J8+J16+J17)/G11*G4-J34-J40</f>
        <v>1840083.6119189514</v>
      </c>
      <c r="S33" s="23"/>
      <c r="T33" s="23"/>
      <c r="U33" s="23"/>
      <c r="V33" s="23"/>
      <c r="W33" s="23"/>
      <c r="X33" s="23"/>
      <c r="Y33" s="23"/>
      <c r="Z33" s="23"/>
    </row>
    <row r="34" spans="1:26">
      <c r="A34" s="164" t="s">
        <v>126</v>
      </c>
      <c r="B34" s="227"/>
      <c r="C34" s="227"/>
      <c r="D34" s="227"/>
      <c r="E34" s="227"/>
      <c r="F34" s="227"/>
      <c r="G34" s="227"/>
      <c r="H34" s="227"/>
      <c r="I34" s="165"/>
      <c r="J34" s="15">
        <f>J35+J36+J37</f>
        <v>1260367.5060786651</v>
      </c>
      <c r="K34" s="15">
        <f t="shared" ref="K34:N34" si="5">K35+K36+K37</f>
        <v>0</v>
      </c>
      <c r="L34" s="15">
        <f t="shared" si="5"/>
        <v>1130066.1971830986</v>
      </c>
      <c r="M34" s="15">
        <f t="shared" si="5"/>
        <v>346862.73461538466</v>
      </c>
      <c r="N34" s="15">
        <f t="shared" si="5"/>
        <v>317651.70973451331</v>
      </c>
      <c r="O34" s="76">
        <f t="shared" si="2"/>
        <v>3054948.1476116618</v>
      </c>
      <c r="P34" s="87"/>
      <c r="Q34" s="87"/>
      <c r="R34" s="23"/>
      <c r="S34" s="23"/>
      <c r="T34" s="23"/>
      <c r="U34" s="23"/>
      <c r="V34" s="23"/>
      <c r="W34" s="23"/>
      <c r="X34" s="23"/>
      <c r="Y34" s="23"/>
      <c r="Z34" s="23"/>
    </row>
    <row r="35" spans="1:26">
      <c r="A35" s="164" t="s">
        <v>82</v>
      </c>
      <c r="B35" s="227"/>
      <c r="C35" s="227"/>
      <c r="D35" s="227"/>
      <c r="E35" s="227"/>
      <c r="F35" s="227"/>
      <c r="G35" s="227"/>
      <c r="H35" s="227"/>
      <c r="I35" s="165"/>
      <c r="J35" s="15">
        <f>(757884*90%)/G11*G4</f>
        <v>240643.97806912992</v>
      </c>
      <c r="K35" s="15"/>
      <c r="L35" s="15">
        <f>(1868455*90%)/O9*O4</f>
        <v>615800.661971831</v>
      </c>
      <c r="M35" s="15">
        <f>(89496*90%)/S12*S4</f>
        <v>27881.446153846158</v>
      </c>
      <c r="N35" s="15">
        <f>(431588*90%)/W12*W4</f>
        <v>89373.090265486739</v>
      </c>
      <c r="O35" s="76">
        <f t="shared" si="2"/>
        <v>973699.1764602937</v>
      </c>
      <c r="P35" s="87"/>
      <c r="Q35" s="87"/>
      <c r="R35" s="23"/>
      <c r="S35" s="23"/>
      <c r="T35" s="23"/>
      <c r="U35" s="87"/>
      <c r="V35" s="87"/>
      <c r="W35" s="87"/>
      <c r="X35" s="23"/>
      <c r="Y35" s="23"/>
      <c r="Z35" s="23"/>
    </row>
    <row r="36" spans="1:26">
      <c r="A36" s="164" t="s">
        <v>83</v>
      </c>
      <c r="B36" s="227"/>
      <c r="C36" s="227"/>
      <c r="D36" s="227"/>
      <c r="E36" s="227"/>
      <c r="F36" s="227"/>
      <c r="G36" s="227"/>
      <c r="H36" s="227"/>
      <c r="I36" s="165"/>
      <c r="J36" s="15">
        <f>(4409324*50%)/G11*G4</f>
        <v>777806.85578069137</v>
      </c>
      <c r="K36" s="15"/>
      <c r="L36" s="15">
        <f>(1882269*50%)/O9*O4</f>
        <v>344640.80281690141</v>
      </c>
      <c r="M36" s="15">
        <f>(1808697*50%)/S12*S4</f>
        <v>313043.71153846156</v>
      </c>
      <c r="N36" s="15">
        <f>(1528736*50%)/W12*W4</f>
        <v>175872.2831858407</v>
      </c>
      <c r="O36" s="76">
        <f t="shared" si="2"/>
        <v>1611363.6533218948</v>
      </c>
      <c r="P36" s="87"/>
      <c r="Q36" s="87"/>
      <c r="R36" s="87"/>
      <c r="S36" s="87"/>
      <c r="T36" s="87"/>
      <c r="U36" s="87"/>
      <c r="V36" s="87"/>
      <c r="W36" s="87"/>
      <c r="X36" s="23"/>
      <c r="Y36" s="23"/>
      <c r="Z36" s="23"/>
    </row>
    <row r="37" spans="1:26">
      <c r="A37" s="164" t="s">
        <v>84</v>
      </c>
      <c r="B37" s="227"/>
      <c r="C37" s="227"/>
      <c r="D37" s="227"/>
      <c r="E37" s="227"/>
      <c r="F37" s="227"/>
      <c r="G37" s="227"/>
      <c r="H37" s="227"/>
      <c r="I37" s="165"/>
      <c r="J37" s="15">
        <f>(287848+397855)/G11*G4</f>
        <v>241916.67222884388</v>
      </c>
      <c r="K37" s="15"/>
      <c r="L37" s="15">
        <f>463206/O9*O4</f>
        <v>169624.7323943662</v>
      </c>
      <c r="M37" s="15">
        <f>17153/S12*S4</f>
        <v>5937.5769230769238</v>
      </c>
      <c r="N37" s="15">
        <f>227766/W12*W4</f>
        <v>52406.336283185839</v>
      </c>
      <c r="O37" s="76">
        <f t="shared" si="2"/>
        <v>469885.31782947283</v>
      </c>
      <c r="P37" s="87"/>
      <c r="Q37" s="87"/>
      <c r="R37" s="87"/>
      <c r="S37" s="87"/>
      <c r="T37" s="87"/>
      <c r="U37" s="87"/>
      <c r="V37" s="87"/>
      <c r="W37" s="87"/>
      <c r="X37" s="23"/>
      <c r="Y37" s="23"/>
      <c r="Z37" s="23"/>
    </row>
    <row r="38" spans="1:26">
      <c r="A38" s="164" t="s">
        <v>127</v>
      </c>
      <c r="B38" s="227"/>
      <c r="C38" s="227"/>
      <c r="D38" s="227"/>
      <c r="E38" s="227"/>
      <c r="F38" s="227"/>
      <c r="G38" s="227"/>
      <c r="H38" s="227"/>
      <c r="I38" s="165"/>
      <c r="J38" s="15"/>
      <c r="K38" s="15"/>
      <c r="L38" s="15"/>
      <c r="M38" s="15"/>
      <c r="N38" s="15"/>
      <c r="O38" s="76">
        <f t="shared" si="2"/>
        <v>0</v>
      </c>
      <c r="P38" s="87"/>
      <c r="Q38" s="87"/>
      <c r="R38" s="87"/>
      <c r="S38" s="87"/>
      <c r="T38" s="87"/>
      <c r="U38" s="87"/>
      <c r="V38" s="87"/>
      <c r="W38" s="87"/>
      <c r="X38" s="23"/>
      <c r="Y38" s="23"/>
      <c r="Z38" s="23"/>
    </row>
    <row r="39" spans="1:26">
      <c r="A39" s="164" t="s">
        <v>128</v>
      </c>
      <c r="B39" s="227"/>
      <c r="C39" s="227"/>
      <c r="D39" s="227"/>
      <c r="E39" s="227"/>
      <c r="F39" s="227"/>
      <c r="G39" s="227"/>
      <c r="H39" s="227"/>
      <c r="I39" s="165"/>
      <c r="J39" s="15"/>
      <c r="K39" s="15"/>
      <c r="L39" s="15"/>
      <c r="M39" s="15"/>
      <c r="N39" s="15"/>
      <c r="O39" s="76">
        <f t="shared" si="2"/>
        <v>0</v>
      </c>
      <c r="P39" s="87"/>
      <c r="Q39" s="87"/>
      <c r="R39" s="87"/>
      <c r="S39" s="87"/>
      <c r="T39" s="87"/>
      <c r="U39" s="87"/>
      <c r="V39" s="87"/>
      <c r="W39" s="87"/>
      <c r="X39" s="23"/>
      <c r="Y39" s="23"/>
      <c r="Z39" s="23"/>
    </row>
    <row r="40" spans="1:26" ht="15" customHeight="1">
      <c r="A40" s="228" t="s">
        <v>129</v>
      </c>
      <c r="B40" s="163"/>
      <c r="C40" s="163"/>
      <c r="D40" s="163"/>
      <c r="E40" s="163"/>
      <c r="F40" s="163"/>
      <c r="G40" s="163"/>
      <c r="H40" s="163"/>
      <c r="I40" s="229"/>
      <c r="J40" s="15">
        <f>J41</f>
        <v>205439.17044100122</v>
      </c>
      <c r="K40" s="15">
        <f>K41</f>
        <v>0</v>
      </c>
      <c r="L40" s="15">
        <f t="shared" ref="L40:N40" si="6">L41</f>
        <v>93954.845070422525</v>
      </c>
      <c r="M40" s="15">
        <f t="shared" si="6"/>
        <v>78829.961538461532</v>
      </c>
      <c r="N40" s="15">
        <f t="shared" si="6"/>
        <v>47498.548672566372</v>
      </c>
      <c r="O40" s="76">
        <f t="shared" si="2"/>
        <v>425722.52572245168</v>
      </c>
      <c r="P40" s="87"/>
      <c r="Q40" s="87"/>
      <c r="R40" s="87"/>
      <c r="S40" s="87"/>
      <c r="T40" s="87"/>
      <c r="U40" s="87"/>
      <c r="V40" s="87"/>
      <c r="W40" s="87"/>
      <c r="X40" s="23"/>
      <c r="Y40" s="23"/>
      <c r="Z40" s="23"/>
    </row>
    <row r="41" spans="1:26" ht="30" customHeight="1">
      <c r="A41" s="233" t="s">
        <v>132</v>
      </c>
      <c r="B41" s="234"/>
      <c r="C41" s="234"/>
      <c r="D41" s="234"/>
      <c r="E41" s="234"/>
      <c r="F41" s="234"/>
      <c r="G41" s="234"/>
      <c r="H41" s="234"/>
      <c r="I41" s="235"/>
      <c r="J41" s="15">
        <f>(150192+206166+37607+42355+42438+3423+100128)/G11*G4</f>
        <v>205439.17044100122</v>
      </c>
      <c r="K41" s="15"/>
      <c r="L41" s="15">
        <f>(43806+74646+13616+15335+3197+1174+46387+58408)/O9*O4</f>
        <v>93954.845070422525</v>
      </c>
      <c r="M41" s="15">
        <f>227731/S12*S4</f>
        <v>78829.961538461532</v>
      </c>
      <c r="N41" s="15">
        <f>(40878+7458+8398+38661+6979+37310+66752)/W12*W4</f>
        <v>47498.548672566372</v>
      </c>
      <c r="O41" s="76">
        <f t="shared" si="2"/>
        <v>425722.52572245168</v>
      </c>
      <c r="P41" s="87"/>
      <c r="Q41" s="87"/>
      <c r="R41" s="87"/>
      <c r="S41" s="87"/>
      <c r="T41" s="87"/>
      <c r="U41" s="87"/>
      <c r="V41" s="87"/>
      <c r="W41" s="87"/>
      <c r="X41" s="23"/>
      <c r="Y41" s="23"/>
      <c r="Z41" s="23"/>
    </row>
    <row r="42" spans="1:26">
      <c r="A42" s="164" t="s">
        <v>131</v>
      </c>
      <c r="B42" s="227"/>
      <c r="C42" s="227"/>
      <c r="D42" s="227"/>
      <c r="E42" s="227"/>
      <c r="F42" s="227"/>
      <c r="G42" s="227"/>
      <c r="H42" s="227"/>
      <c r="I42" s="165"/>
      <c r="J42" s="15">
        <f>J43</f>
        <v>1840083.6119189514</v>
      </c>
      <c r="K42" s="15">
        <f>K43</f>
        <v>275486.08873720135</v>
      </c>
      <c r="L42" s="15">
        <f t="shared" ref="L42:N42" si="7">L43</f>
        <v>2001699.7183098588</v>
      </c>
      <c r="M42" s="15">
        <f>M43</f>
        <v>600827.91923076916</v>
      </c>
      <c r="N42" s="15">
        <f t="shared" si="7"/>
        <v>732235.65309734514</v>
      </c>
      <c r="O42" s="76">
        <f t="shared" si="2"/>
        <v>5450332.991294126</v>
      </c>
      <c r="P42" s="87"/>
      <c r="Q42" s="87"/>
      <c r="R42" s="87"/>
      <c r="S42" s="87"/>
      <c r="T42" s="87"/>
      <c r="U42" s="87"/>
      <c r="V42" s="87"/>
      <c r="W42" s="87"/>
      <c r="X42" s="23"/>
      <c r="Y42" s="23"/>
      <c r="Z42" s="23"/>
    </row>
    <row r="43" spans="1:26" ht="112.5" customHeight="1">
      <c r="A43" s="233" t="s">
        <v>130</v>
      </c>
      <c r="B43" s="234"/>
      <c r="C43" s="234"/>
      <c r="D43" s="234"/>
      <c r="E43" s="234"/>
      <c r="F43" s="234"/>
      <c r="G43" s="234"/>
      <c r="H43" s="234"/>
      <c r="I43" s="235"/>
      <c r="J43" s="15">
        <f>(J7+J8+J16+J17)/G11*G4-J34-J40</f>
        <v>1840083.6119189514</v>
      </c>
      <c r="K43" s="15">
        <f>+(N7+N8+N16)/K9*K4</f>
        <v>275486.08873720135</v>
      </c>
      <c r="L43" s="15">
        <f>(R7+R8+R16+R17)/O9*O4-L34-L40</f>
        <v>2001699.7183098588</v>
      </c>
      <c r="M43" s="15">
        <f>(V7+V8+V16+V17)/S12*S4-M34-M40</f>
        <v>600827.91923076916</v>
      </c>
      <c r="N43" s="15">
        <f>(Z7+Z8+Z16+Z17)/W12*W4-N34-N40</f>
        <v>732235.65309734514</v>
      </c>
      <c r="O43" s="76">
        <f t="shared" si="2"/>
        <v>5450332.991294126</v>
      </c>
      <c r="P43" s="87"/>
      <c r="Q43" s="87"/>
      <c r="R43" s="87"/>
      <c r="S43" s="87"/>
      <c r="T43" s="87"/>
      <c r="U43" s="87"/>
      <c r="V43" s="87"/>
      <c r="W43" s="87"/>
      <c r="X43" s="23"/>
      <c r="Y43" s="23"/>
      <c r="Z43" s="23"/>
    </row>
    <row r="44" spans="1:26">
      <c r="A44" s="260" t="s">
        <v>93</v>
      </c>
      <c r="B44" s="261"/>
      <c r="C44" s="261"/>
      <c r="D44" s="261"/>
      <c r="E44" s="261"/>
      <c r="F44" s="261"/>
      <c r="G44" s="261"/>
      <c r="H44" s="261"/>
      <c r="I44" s="262"/>
      <c r="J44" s="75">
        <f>J27+J32</f>
        <v>4990977.57806913</v>
      </c>
      <c r="K44" s="75">
        <f t="shared" ref="K44:O44" si="8">K27+K32</f>
        <v>1017065.6348122868</v>
      </c>
      <c r="L44" s="75">
        <f t="shared" si="8"/>
        <v>3898805.0985915493</v>
      </c>
      <c r="M44" s="75">
        <f t="shared" si="8"/>
        <v>1216864.923076923</v>
      </c>
      <c r="N44" s="75">
        <f t="shared" si="8"/>
        <v>1310533.9115044249</v>
      </c>
      <c r="O44" s="75">
        <f t="shared" si="8"/>
        <v>12434247.146054314</v>
      </c>
      <c r="P44" s="87"/>
      <c r="Q44" s="23"/>
      <c r="R44" s="23"/>
      <c r="S44" s="23"/>
      <c r="T44" s="23"/>
      <c r="U44" s="23"/>
      <c r="V44" s="23"/>
      <c r="W44" s="23"/>
      <c r="X44" s="23"/>
      <c r="Y44" s="23"/>
      <c r="Z44" s="23"/>
    </row>
    <row r="45" spans="1:26">
      <c r="A45" t="s">
        <v>61</v>
      </c>
      <c r="J45" s="8">
        <f>J44/G4</f>
        <v>16861.410736720034</v>
      </c>
      <c r="K45" s="8">
        <f>K44/K4</f>
        <v>9162.753466777358</v>
      </c>
      <c r="L45" s="8">
        <f>L44/O4</f>
        <v>37488.510563380281</v>
      </c>
      <c r="M45" s="8">
        <f>M44/S4</f>
        <v>67603.606837606829</v>
      </c>
      <c r="N45" s="8">
        <f>N44/W4</f>
        <v>50405.150442477883</v>
      </c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</row>
    <row r="46" spans="1:26"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</row>
    <row r="47" spans="1:26"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</row>
    <row r="48" spans="1:26" ht="16.5">
      <c r="A48" s="1"/>
      <c r="B48" s="1"/>
      <c r="C48" s="1"/>
      <c r="D48" s="1"/>
      <c r="F48" s="42"/>
      <c r="G48" s="42"/>
      <c r="H48" s="42"/>
      <c r="I48" s="42"/>
      <c r="J48" s="42"/>
      <c r="K48" s="42"/>
      <c r="L48" s="30"/>
      <c r="M48" s="162" t="s">
        <v>173</v>
      </c>
      <c r="N48" s="30"/>
      <c r="O48" s="30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</row>
    <row r="49" spans="1:18">
      <c r="L49" s="4" t="s">
        <v>217</v>
      </c>
      <c r="M49" s="4"/>
      <c r="N49" s="30"/>
      <c r="O49" s="30"/>
    </row>
    <row r="50" spans="1:18" ht="30">
      <c r="A50" s="224" t="s">
        <v>152</v>
      </c>
      <c r="B50" s="225"/>
      <c r="C50" s="225"/>
      <c r="D50" s="225"/>
      <c r="E50" s="225"/>
      <c r="F50" s="225"/>
      <c r="G50" s="225"/>
      <c r="H50" s="225"/>
      <c r="I50" s="226"/>
      <c r="J50" s="17" t="s">
        <v>94</v>
      </c>
      <c r="K50" s="17" t="s">
        <v>95</v>
      </c>
      <c r="L50" s="16" t="s">
        <v>96</v>
      </c>
      <c r="M50" s="17" t="s">
        <v>97</v>
      </c>
      <c r="N50" s="17" t="s">
        <v>98</v>
      </c>
      <c r="O50" s="17" t="s">
        <v>93</v>
      </c>
    </row>
    <row r="51" spans="1:18">
      <c r="A51" s="271" t="s">
        <v>138</v>
      </c>
      <c r="B51" s="272"/>
      <c r="C51" s="272"/>
      <c r="D51" s="272"/>
      <c r="E51" s="272"/>
      <c r="F51" s="272"/>
      <c r="G51" s="272"/>
      <c r="H51" s="272"/>
      <c r="I51" s="272"/>
      <c r="J51" s="272"/>
      <c r="K51" s="272"/>
      <c r="L51" s="272"/>
      <c r="M51" s="272"/>
      <c r="N51" s="272"/>
      <c r="O51" s="273"/>
    </row>
    <row r="52" spans="1:18">
      <c r="A52" s="266" t="s">
        <v>80</v>
      </c>
      <c r="B52" s="267"/>
      <c r="C52" s="267"/>
      <c r="D52" s="267"/>
      <c r="E52" s="267"/>
      <c r="F52" s="267"/>
      <c r="G52" s="267"/>
      <c r="H52" s="267"/>
      <c r="I52" s="268"/>
      <c r="J52" s="76">
        <f>J53+J54+J56</f>
        <v>1965758.2646007151</v>
      </c>
      <c r="K52" s="76">
        <f>K53+K54+K56</f>
        <v>809881.34812286694</v>
      </c>
      <c r="L52" s="76">
        <f>L53+L55+L56</f>
        <v>841355.42253521131</v>
      </c>
      <c r="M52" s="76">
        <f t="shared" ref="M52:N52" si="9">M53+M55+M56</f>
        <v>170144.30769230769</v>
      </c>
      <c r="N52" s="76">
        <f t="shared" si="9"/>
        <v>327920</v>
      </c>
      <c r="O52" s="76">
        <f>SUM(J52:N52)</f>
        <v>4115059.3429511008</v>
      </c>
    </row>
    <row r="53" spans="1:18">
      <c r="A53" s="248" t="s">
        <v>120</v>
      </c>
      <c r="B53" s="269"/>
      <c r="C53" s="269"/>
      <c r="D53" s="269"/>
      <c r="E53" s="269"/>
      <c r="F53" s="269"/>
      <c r="G53" s="269"/>
      <c r="H53" s="269"/>
      <c r="I53" s="270"/>
      <c r="J53" s="2"/>
      <c r="K53" s="2"/>
      <c r="L53" s="2"/>
      <c r="M53" s="2"/>
      <c r="N53" s="2"/>
      <c r="O53" s="76">
        <f t="shared" ref="O53:O56" si="10">SUM(J53:N53)</f>
        <v>0</v>
      </c>
    </row>
    <row r="54" spans="1:18">
      <c r="A54" s="164" t="s">
        <v>121</v>
      </c>
      <c r="B54" s="227"/>
      <c r="C54" s="227"/>
      <c r="D54" s="227"/>
      <c r="E54" s="227"/>
      <c r="F54" s="227"/>
      <c r="G54" s="227"/>
      <c r="H54" s="227"/>
      <c r="I54" s="165"/>
      <c r="J54" s="11">
        <f>J55</f>
        <v>604508.81525625743</v>
      </c>
      <c r="K54" s="15">
        <f t="shared" ref="K54:M54" si="11">K55</f>
        <v>427545.01706484647</v>
      </c>
      <c r="L54" s="15">
        <f t="shared" si="11"/>
        <v>330986.86619718309</v>
      </c>
      <c r="M54" s="15">
        <f t="shared" si="11"/>
        <v>64038.461538461539</v>
      </c>
      <c r="N54" s="11">
        <f>(Z9+Z10)/W12*W5</f>
        <v>126981.94690265488</v>
      </c>
      <c r="O54" s="76">
        <f t="shared" si="10"/>
        <v>1554061.1069594033</v>
      </c>
    </row>
    <row r="55" spans="1:18">
      <c r="A55" s="233" t="s">
        <v>122</v>
      </c>
      <c r="B55" s="234"/>
      <c r="C55" s="234"/>
      <c r="D55" s="234"/>
      <c r="E55" s="234"/>
      <c r="F55" s="234"/>
      <c r="G55" s="234"/>
      <c r="H55" s="234"/>
      <c r="I55" s="235"/>
      <c r="J55" s="15">
        <f>(J9+J10)/G11*G5</f>
        <v>604508.81525625743</v>
      </c>
      <c r="K55" s="11">
        <f>(N9+N10)/K9*K5</f>
        <v>427545.01706484647</v>
      </c>
      <c r="L55" s="11">
        <f>(R9+R10)/O9*O5</f>
        <v>330986.86619718309</v>
      </c>
      <c r="M55" s="15">
        <f>(V9+V10)/S12*S5</f>
        <v>64038.461538461539</v>
      </c>
      <c r="N55" s="15">
        <f>(Z9+Z10)/W12*W5</f>
        <v>126981.94690265488</v>
      </c>
      <c r="O55" s="76">
        <f t="shared" si="10"/>
        <v>1554061.1069594033</v>
      </c>
    </row>
    <row r="56" spans="1:18">
      <c r="A56" s="164" t="s">
        <v>123</v>
      </c>
      <c r="B56" s="227"/>
      <c r="C56" s="227"/>
      <c r="D56" s="227"/>
      <c r="E56" s="227"/>
      <c r="F56" s="227"/>
      <c r="G56" s="227"/>
      <c r="H56" s="227"/>
      <c r="I56" s="165"/>
      <c r="J56" s="15">
        <f>(J4+J5+J11)/G11*G5</f>
        <v>1361249.4493444576</v>
      </c>
      <c r="K56" s="15">
        <f>(N4+N5+N11)/K9*K5</f>
        <v>382336.33105802047</v>
      </c>
      <c r="L56" s="15">
        <f>(R4+R5+R11)/O9*O5</f>
        <v>510368.55633802817</v>
      </c>
      <c r="M56" s="15">
        <f>(V4+V5+V11)/S12*S5</f>
        <v>106105.84615384616</v>
      </c>
      <c r="N56" s="15">
        <f>(Z4+Z5+Z11)/W12*W5</f>
        <v>200938.05309734514</v>
      </c>
      <c r="O56" s="76">
        <f t="shared" si="10"/>
        <v>2560998.2359916973</v>
      </c>
    </row>
    <row r="57" spans="1:18">
      <c r="A57" s="266" t="s">
        <v>87</v>
      </c>
      <c r="B57" s="267"/>
      <c r="C57" s="267"/>
      <c r="D57" s="267"/>
      <c r="E57" s="267"/>
      <c r="F57" s="267"/>
      <c r="G57" s="267"/>
      <c r="H57" s="267"/>
      <c r="I57" s="268"/>
      <c r="J57" s="76">
        <f>J58+J59+J63+J64+J65+J67</f>
        <v>4177037.0536352796</v>
      </c>
      <c r="K57" s="76">
        <f>K58+K59+K63+K64+K65+K67</f>
        <v>384687.78156996588</v>
      </c>
      <c r="L57" s="76">
        <f t="shared" ref="L57:N57" si="12">L58+L59+L63+L64+L65+L67</f>
        <v>4032150.9507042253</v>
      </c>
      <c r="M57" s="76">
        <f t="shared" si="12"/>
        <v>1026520.6153846154</v>
      </c>
      <c r="N57" s="76">
        <f t="shared" si="12"/>
        <v>1688286.017699115</v>
      </c>
      <c r="O57" s="15">
        <f t="shared" ref="O57:O68" si="13">SUM(J57:N57)</f>
        <v>11308682.418993201</v>
      </c>
    </row>
    <row r="58" spans="1:18">
      <c r="A58" s="233" t="s">
        <v>125</v>
      </c>
      <c r="B58" s="234"/>
      <c r="C58" s="234"/>
      <c r="D58" s="234"/>
      <c r="E58" s="234"/>
      <c r="F58" s="234"/>
      <c r="G58" s="234"/>
      <c r="H58" s="234"/>
      <c r="I58" s="235"/>
      <c r="J58" s="15"/>
      <c r="K58" s="15"/>
      <c r="L58" s="15"/>
      <c r="M58" s="15"/>
      <c r="N58" s="15"/>
      <c r="O58" s="15">
        <f t="shared" si="13"/>
        <v>0</v>
      </c>
    </row>
    <row r="59" spans="1:18">
      <c r="A59" s="164" t="s">
        <v>126</v>
      </c>
      <c r="B59" s="227"/>
      <c r="C59" s="227"/>
      <c r="D59" s="227"/>
      <c r="E59" s="227"/>
      <c r="F59" s="227"/>
      <c r="G59" s="227"/>
      <c r="H59" s="227"/>
      <c r="I59" s="165"/>
      <c r="J59" s="15">
        <f>J60+J61+J62</f>
        <v>1503001.9575685337</v>
      </c>
      <c r="K59" s="15">
        <f t="shared" ref="K59:N59" si="14">K60+K61+K62</f>
        <v>0</v>
      </c>
      <c r="L59" s="15">
        <f t="shared" si="14"/>
        <v>1412582.7464788731</v>
      </c>
      <c r="M59" s="15">
        <f t="shared" si="14"/>
        <v>346862.73461538466</v>
      </c>
      <c r="N59" s="15">
        <f t="shared" si="14"/>
        <v>488694.93805309734</v>
      </c>
      <c r="O59" s="15">
        <f t="shared" si="13"/>
        <v>3751142.3767158892</v>
      </c>
      <c r="R59" s="11"/>
    </row>
    <row r="60" spans="1:18">
      <c r="A60" s="164" t="s">
        <v>82</v>
      </c>
      <c r="B60" s="227"/>
      <c r="C60" s="227"/>
      <c r="D60" s="227"/>
      <c r="E60" s="227"/>
      <c r="F60" s="227"/>
      <c r="G60" s="227"/>
      <c r="H60" s="227"/>
      <c r="I60" s="165"/>
      <c r="J60" s="15">
        <f>(757884*90%)/G11*G5</f>
        <v>304056.91823599522</v>
      </c>
      <c r="K60" s="15"/>
      <c r="L60" s="15">
        <f>(1868455*90%)/O9*O5</f>
        <v>769750.82746478869</v>
      </c>
      <c r="M60" s="15">
        <f>(89496*90%)/S12*S5</f>
        <v>27881.446153846158</v>
      </c>
      <c r="N60" s="15">
        <f>(431588*90%)/W12*W5</f>
        <v>137497.06194690266</v>
      </c>
      <c r="O60" s="15">
        <f t="shared" si="13"/>
        <v>1239186.2538015328</v>
      </c>
    </row>
    <row r="61" spans="1:18">
      <c r="A61" s="164" t="s">
        <v>83</v>
      </c>
      <c r="B61" s="227"/>
      <c r="C61" s="227"/>
      <c r="D61" s="227"/>
      <c r="E61" s="227"/>
      <c r="F61" s="227"/>
      <c r="G61" s="227"/>
      <c r="H61" s="227"/>
      <c r="I61" s="165"/>
      <c r="J61" s="15">
        <f>(4407818*50%)/G11*G5</f>
        <v>982433.80929678178</v>
      </c>
      <c r="K61" s="15"/>
      <c r="L61" s="15">
        <f>(1882269*50%)/O9*O5</f>
        <v>430801.00352112675</v>
      </c>
      <c r="M61" s="15">
        <f>(1808697*50%)/S12*S5</f>
        <v>313043.71153846156</v>
      </c>
      <c r="N61" s="15">
        <f>(1528736*50%)/W12*W5</f>
        <v>270572.74336283188</v>
      </c>
      <c r="O61" s="15">
        <f t="shared" si="13"/>
        <v>1996851.267719202</v>
      </c>
    </row>
    <row r="62" spans="1:18">
      <c r="A62" s="164" t="s">
        <v>84</v>
      </c>
      <c r="B62" s="227"/>
      <c r="C62" s="227"/>
      <c r="D62" s="227"/>
      <c r="E62" s="227"/>
      <c r="F62" s="227"/>
      <c r="G62" s="227"/>
      <c r="H62" s="227"/>
      <c r="I62" s="165"/>
      <c r="J62" s="15">
        <f>(87848+397855)/G11*G5</f>
        <v>216511.23003575683</v>
      </c>
      <c r="K62" s="15"/>
      <c r="L62" s="15">
        <f>463206/O9*O5</f>
        <v>212030.91549295775</v>
      </c>
      <c r="M62" s="15">
        <f>17153/S12*S5</f>
        <v>5937.5769230769238</v>
      </c>
      <c r="N62" s="15">
        <f>227766/W12*W5</f>
        <v>80625.132743362832</v>
      </c>
      <c r="O62" s="15">
        <f t="shared" si="13"/>
        <v>515104.85519515432</v>
      </c>
    </row>
    <row r="63" spans="1:18">
      <c r="A63" s="164" t="s">
        <v>127</v>
      </c>
      <c r="B63" s="227"/>
      <c r="C63" s="227"/>
      <c r="D63" s="227"/>
      <c r="E63" s="227"/>
      <c r="F63" s="227"/>
      <c r="G63" s="227"/>
      <c r="H63" s="227"/>
      <c r="I63" s="165"/>
      <c r="J63" s="15"/>
      <c r="K63" s="15"/>
      <c r="L63" s="15"/>
      <c r="M63" s="15"/>
      <c r="N63" s="15"/>
      <c r="O63" s="15">
        <f t="shared" si="13"/>
        <v>0</v>
      </c>
    </row>
    <row r="64" spans="1:18">
      <c r="A64" s="164" t="s">
        <v>128</v>
      </c>
      <c r="B64" s="227"/>
      <c r="C64" s="227"/>
      <c r="D64" s="227"/>
      <c r="E64" s="227"/>
      <c r="F64" s="227"/>
      <c r="G64" s="227"/>
      <c r="H64" s="227"/>
      <c r="I64" s="165"/>
      <c r="J64" s="15"/>
      <c r="K64" s="15"/>
      <c r="L64" s="15"/>
      <c r="M64" s="15"/>
      <c r="N64" s="15"/>
      <c r="O64" s="15">
        <f t="shared" si="13"/>
        <v>0</v>
      </c>
    </row>
    <row r="65" spans="1:15">
      <c r="A65" s="228" t="s">
        <v>129</v>
      </c>
      <c r="B65" s="163"/>
      <c r="C65" s="163"/>
      <c r="D65" s="163"/>
      <c r="E65" s="163"/>
      <c r="F65" s="163"/>
      <c r="G65" s="163"/>
      <c r="H65" s="163"/>
      <c r="I65" s="229"/>
      <c r="J65" s="15">
        <f>J66</f>
        <v>259575.16805721098</v>
      </c>
      <c r="K65" s="15">
        <f>K66</f>
        <v>0</v>
      </c>
      <c r="L65" s="15">
        <f t="shared" ref="L65:N65" si="15">L66</f>
        <v>117443.55633802817</v>
      </c>
      <c r="M65" s="15">
        <f t="shared" si="15"/>
        <v>78829.961538461532</v>
      </c>
      <c r="N65" s="15">
        <f t="shared" si="15"/>
        <v>73074.69026548673</v>
      </c>
      <c r="O65" s="15">
        <f t="shared" si="13"/>
        <v>528923.37619918736</v>
      </c>
    </row>
    <row r="66" spans="1:15">
      <c r="A66" s="233" t="s">
        <v>132</v>
      </c>
      <c r="B66" s="234"/>
      <c r="C66" s="234"/>
      <c r="D66" s="234"/>
      <c r="E66" s="234"/>
      <c r="F66" s="234"/>
      <c r="G66" s="234"/>
      <c r="H66" s="234"/>
      <c r="I66" s="235"/>
      <c r="J66" s="15">
        <f>(150192+206166+37607+42355+42438+3423+100128)/G11*G5</f>
        <v>259575.16805721098</v>
      </c>
      <c r="K66" s="15"/>
      <c r="L66" s="15">
        <f>256569/O9*O5</f>
        <v>117443.55633802817</v>
      </c>
      <c r="M66" s="15">
        <f>(227731/S12)*S5</f>
        <v>78829.961538461532</v>
      </c>
      <c r="N66" s="15">
        <f>206436/W12*W5</f>
        <v>73074.69026548673</v>
      </c>
      <c r="O66" s="15">
        <f t="shared" si="13"/>
        <v>528923.37619918736</v>
      </c>
    </row>
    <row r="67" spans="1:15">
      <c r="A67" s="164" t="s">
        <v>131</v>
      </c>
      <c r="B67" s="227"/>
      <c r="C67" s="227"/>
      <c r="D67" s="227"/>
      <c r="E67" s="227"/>
      <c r="F67" s="227"/>
      <c r="G67" s="227"/>
      <c r="H67" s="227"/>
      <c r="I67" s="165"/>
      <c r="J67" s="15">
        <f>J68</f>
        <v>2414459.9280095352</v>
      </c>
      <c r="K67" s="15">
        <f>K68</f>
        <v>384687.78156996588</v>
      </c>
      <c r="L67" s="15">
        <f t="shared" ref="L67:N67" si="16">L68</f>
        <v>2502124.647887324</v>
      </c>
      <c r="M67" s="15">
        <f t="shared" si="16"/>
        <v>600827.91923076916</v>
      </c>
      <c r="N67" s="15">
        <f t="shared" si="16"/>
        <v>1126516.3893805309</v>
      </c>
      <c r="O67" s="15">
        <f t="shared" si="13"/>
        <v>7028616.6660781261</v>
      </c>
    </row>
    <row r="68" spans="1:15">
      <c r="A68" s="233" t="s">
        <v>130</v>
      </c>
      <c r="B68" s="234"/>
      <c r="C68" s="234"/>
      <c r="D68" s="234"/>
      <c r="E68" s="234"/>
      <c r="F68" s="234"/>
      <c r="G68" s="234"/>
      <c r="H68" s="234"/>
      <c r="I68" s="235"/>
      <c r="J68" s="15">
        <f>(J7+J8+J16+J17)/G11*G5-J59-J65</f>
        <v>2414459.9280095352</v>
      </c>
      <c r="K68" s="15">
        <f>(N7+N8+N16)/K9*K5</f>
        <v>384687.78156996588</v>
      </c>
      <c r="L68" s="15">
        <f>(R7+R8+R16+R17)/O9*O5-L59-L65</f>
        <v>2502124.647887324</v>
      </c>
      <c r="M68" s="15">
        <f>(V7+V8+V16+V17)/S12*S4-M59-M65</f>
        <v>600827.91923076916</v>
      </c>
      <c r="N68" s="15">
        <f>(Z7+Z8+Z16+Z17)/W12*W5-N59-N65</f>
        <v>1126516.3893805309</v>
      </c>
      <c r="O68" s="15">
        <f t="shared" si="13"/>
        <v>7028616.6660781261</v>
      </c>
    </row>
    <row r="69" spans="1:15">
      <c r="A69" s="260" t="s">
        <v>93</v>
      </c>
      <c r="B69" s="261"/>
      <c r="C69" s="261"/>
      <c r="D69" s="261"/>
      <c r="E69" s="261"/>
      <c r="F69" s="261"/>
      <c r="G69" s="261"/>
      <c r="H69" s="261"/>
      <c r="I69" s="262"/>
      <c r="J69" s="75">
        <f>J52+J57</f>
        <v>6142795.3182359952</v>
      </c>
      <c r="K69" s="75">
        <f t="shared" ref="K69:O69" si="17">K52+K57</f>
        <v>1194569.1296928329</v>
      </c>
      <c r="L69" s="75">
        <f t="shared" si="17"/>
        <v>4873506.3732394371</v>
      </c>
      <c r="M69" s="75">
        <f t="shared" si="17"/>
        <v>1196664.923076923</v>
      </c>
      <c r="N69" s="75">
        <f t="shared" si="17"/>
        <v>2016206.017699115</v>
      </c>
      <c r="O69" s="75">
        <f t="shared" si="17"/>
        <v>15423741.761944301</v>
      </c>
    </row>
    <row r="70" spans="1:15">
      <c r="A70" t="s">
        <v>61</v>
      </c>
      <c r="J70" s="8">
        <f>J69/G5</f>
        <v>16424.586412395711</v>
      </c>
      <c r="K70" s="8">
        <f>K69/K5</f>
        <v>7706.8976109215027</v>
      </c>
      <c r="L70" s="8">
        <f>L69/O5</f>
        <v>37488.510563380289</v>
      </c>
      <c r="M70" s="8">
        <f>M69/S5</f>
        <v>66481.38461538461</v>
      </c>
      <c r="N70" s="8">
        <f>N69/W5</f>
        <v>50405.150442477876</v>
      </c>
    </row>
    <row r="73" spans="1:15" ht="16.5">
      <c r="L73" s="30"/>
      <c r="M73" s="162" t="s">
        <v>174</v>
      </c>
      <c r="N73" s="30"/>
      <c r="O73" s="30"/>
    </row>
    <row r="74" spans="1:15">
      <c r="L74" s="4" t="s">
        <v>217</v>
      </c>
      <c r="M74" s="4"/>
      <c r="N74" s="30"/>
      <c r="O74" s="30"/>
    </row>
    <row r="75" spans="1:15" ht="30">
      <c r="A75" s="224" t="s">
        <v>152</v>
      </c>
      <c r="B75" s="225"/>
      <c r="C75" s="225"/>
      <c r="D75" s="225"/>
      <c r="E75" s="225"/>
      <c r="F75" s="225"/>
      <c r="G75" s="225"/>
      <c r="H75" s="225"/>
      <c r="I75" s="226"/>
      <c r="J75" s="17" t="s">
        <v>94</v>
      </c>
      <c r="K75" s="17" t="s">
        <v>95</v>
      </c>
      <c r="L75" s="16" t="s">
        <v>96</v>
      </c>
      <c r="M75" s="17" t="s">
        <v>97</v>
      </c>
      <c r="N75" s="17" t="s">
        <v>98</v>
      </c>
      <c r="O75" s="17" t="s">
        <v>93</v>
      </c>
    </row>
    <row r="76" spans="1:15">
      <c r="A76" s="271" t="s">
        <v>139</v>
      </c>
      <c r="B76" s="272"/>
      <c r="C76" s="272"/>
      <c r="D76" s="272"/>
      <c r="E76" s="272"/>
      <c r="F76" s="272"/>
      <c r="G76" s="272"/>
      <c r="H76" s="272"/>
      <c r="I76" s="272"/>
      <c r="J76" s="272"/>
      <c r="K76" s="272"/>
      <c r="L76" s="272"/>
      <c r="M76" s="272"/>
      <c r="N76" s="272"/>
      <c r="O76" s="273"/>
    </row>
    <row r="77" spans="1:15">
      <c r="A77" s="266" t="s">
        <v>80</v>
      </c>
      <c r="B77" s="267"/>
      <c r="C77" s="267"/>
      <c r="D77" s="267"/>
      <c r="E77" s="267"/>
      <c r="F77" s="267"/>
      <c r="G77" s="267"/>
      <c r="H77" s="267"/>
      <c r="I77" s="268"/>
      <c r="J77" s="76">
        <f>J78+J79+J81</f>
        <v>5256.0381406436227</v>
      </c>
      <c r="K77" s="76">
        <f>K78+K79+K81</f>
        <v>5225.0409556313989</v>
      </c>
      <c r="L77" s="76">
        <f t="shared" ref="L77:N77" si="18">L78+L79+L81</f>
        <v>0</v>
      </c>
      <c r="M77" s="76">
        <f t="shared" si="18"/>
        <v>0</v>
      </c>
      <c r="N77" s="76">
        <f t="shared" si="18"/>
        <v>8198</v>
      </c>
      <c r="O77" s="76">
        <f>SUM(J77:N77)</f>
        <v>18679.079096275022</v>
      </c>
    </row>
    <row r="78" spans="1:15">
      <c r="A78" s="248" t="s">
        <v>120</v>
      </c>
      <c r="B78" s="269"/>
      <c r="C78" s="269"/>
      <c r="D78" s="269"/>
      <c r="E78" s="269"/>
      <c r="F78" s="269"/>
      <c r="G78" s="269"/>
      <c r="H78" s="269"/>
      <c r="I78" s="270"/>
      <c r="J78" s="2"/>
      <c r="K78" s="2"/>
      <c r="L78" s="2"/>
      <c r="M78" s="2"/>
      <c r="N78" s="2"/>
      <c r="O78" s="76">
        <f t="shared" ref="O78:O81" si="19">SUM(J78:N78)</f>
        <v>0</v>
      </c>
    </row>
    <row r="79" spans="1:15">
      <c r="A79" s="164" t="s">
        <v>121</v>
      </c>
      <c r="B79" s="227"/>
      <c r="C79" s="227"/>
      <c r="D79" s="227"/>
      <c r="E79" s="227"/>
      <c r="F79" s="227"/>
      <c r="G79" s="227"/>
      <c r="H79" s="227"/>
      <c r="I79" s="165"/>
      <c r="J79" s="15">
        <f>J80</f>
        <v>1616.3337306317044</v>
      </c>
      <c r="K79" s="15">
        <f>K80</f>
        <v>2758.3549488054609</v>
      </c>
      <c r="L79" s="15">
        <f t="shared" ref="L79:N79" si="20">L80</f>
        <v>0</v>
      </c>
      <c r="M79" s="15">
        <f t="shared" si="20"/>
        <v>0</v>
      </c>
      <c r="N79" s="15">
        <f t="shared" si="20"/>
        <v>3174.5486725663718</v>
      </c>
      <c r="O79" s="76">
        <f t="shared" si="19"/>
        <v>7549.237352003538</v>
      </c>
    </row>
    <row r="80" spans="1:15">
      <c r="A80" s="233" t="s">
        <v>122</v>
      </c>
      <c r="B80" s="234"/>
      <c r="C80" s="234"/>
      <c r="D80" s="234"/>
      <c r="E80" s="234"/>
      <c r="F80" s="234"/>
      <c r="G80" s="234"/>
      <c r="H80" s="234"/>
      <c r="I80" s="235"/>
      <c r="J80" s="15">
        <f>(J9+J10)/G11*G6</f>
        <v>1616.3337306317044</v>
      </c>
      <c r="K80" s="15">
        <f>(N9+N10)/K9*K8</f>
        <v>2758.3549488054609</v>
      </c>
      <c r="L80" s="15"/>
      <c r="M80" s="15"/>
      <c r="N80" s="15">
        <f>(Z9+Z10)/W12*W6</f>
        <v>3174.5486725663718</v>
      </c>
      <c r="O80" s="76">
        <f>SUM(J80:N80)</f>
        <v>7549.237352003538</v>
      </c>
    </row>
    <row r="81" spans="1:16">
      <c r="A81" s="164" t="s">
        <v>123</v>
      </c>
      <c r="B81" s="227"/>
      <c r="C81" s="227"/>
      <c r="D81" s="227"/>
      <c r="E81" s="227"/>
      <c r="F81" s="227"/>
      <c r="G81" s="227"/>
      <c r="H81" s="227"/>
      <c r="I81" s="165"/>
      <c r="J81" s="15">
        <f>(J4+J5+J11)/G11*G6</f>
        <v>3639.7044100119188</v>
      </c>
      <c r="K81" s="15">
        <f>(N4+N5+N11)/K9*K8</f>
        <v>2466.6860068259384</v>
      </c>
      <c r="L81" s="15">
        <f>R55+R56+R68+R62</f>
        <v>0</v>
      </c>
      <c r="M81" s="15">
        <f>V55+V56+V62+V63</f>
        <v>0</v>
      </c>
      <c r="N81" s="15">
        <f>(Z4+Z5+Z11)/W12*W6</f>
        <v>5023.4513274336286</v>
      </c>
      <c r="O81" s="76">
        <f t="shared" si="19"/>
        <v>11129.841744271485</v>
      </c>
    </row>
    <row r="82" spans="1:16">
      <c r="A82" s="263" t="s">
        <v>87</v>
      </c>
      <c r="B82" s="264"/>
      <c r="C82" s="264"/>
      <c r="D82" s="264"/>
      <c r="E82" s="264"/>
      <c r="F82" s="264"/>
      <c r="G82" s="264"/>
      <c r="H82" s="264"/>
      <c r="I82" s="265"/>
      <c r="J82" s="76">
        <f>J83+J84+J88+J89+J90+J92</f>
        <v>11168.548271752086</v>
      </c>
      <c r="K82" s="76">
        <f>K83+K84+K88+K89+K90+K92</f>
        <v>2481.8566552901025</v>
      </c>
      <c r="L82" s="76">
        <f t="shared" ref="L82:O82" si="21">L83+L84+L88+L89+L90+L92</f>
        <v>0</v>
      </c>
      <c r="M82" s="76">
        <f t="shared" si="21"/>
        <v>0</v>
      </c>
      <c r="N82" s="76">
        <f t="shared" si="21"/>
        <v>42207.150442477876</v>
      </c>
      <c r="O82" s="76">
        <f t="shared" si="21"/>
        <v>55857.555369520065</v>
      </c>
    </row>
    <row r="83" spans="1:16">
      <c r="A83" s="233" t="s">
        <v>125</v>
      </c>
      <c r="B83" s="234"/>
      <c r="C83" s="234"/>
      <c r="D83" s="234"/>
      <c r="E83" s="234"/>
      <c r="F83" s="234"/>
      <c r="G83" s="234"/>
      <c r="H83" s="234"/>
      <c r="I83" s="235"/>
      <c r="J83" s="15"/>
      <c r="K83" s="15"/>
      <c r="L83" s="15"/>
      <c r="M83" s="15"/>
      <c r="N83" s="15"/>
      <c r="O83" s="15">
        <f>SUM(J83:N83)</f>
        <v>0</v>
      </c>
    </row>
    <row r="84" spans="1:16">
      <c r="A84" s="164" t="s">
        <v>126</v>
      </c>
      <c r="B84" s="227"/>
      <c r="C84" s="227"/>
      <c r="D84" s="227"/>
      <c r="E84" s="227"/>
      <c r="F84" s="227"/>
      <c r="G84" s="227"/>
      <c r="H84" s="227"/>
      <c r="I84" s="165"/>
      <c r="J84" s="15">
        <f>J85+J86+J87</f>
        <v>1897.1485101311087</v>
      </c>
      <c r="K84" s="15">
        <f t="shared" ref="K84:N84" si="22">K85+K86+K87</f>
        <v>0</v>
      </c>
      <c r="L84" s="15">
        <f t="shared" si="22"/>
        <v>0</v>
      </c>
      <c r="M84" s="15">
        <f t="shared" si="22"/>
        <v>0</v>
      </c>
      <c r="N84" s="15">
        <f t="shared" si="22"/>
        <v>12664.073735181166</v>
      </c>
      <c r="O84" s="15">
        <f t="shared" ref="O84:O93" si="23">SUM(J84:N84)</f>
        <v>14561.222245312274</v>
      </c>
    </row>
    <row r="85" spans="1:16">
      <c r="A85" s="164" t="s">
        <v>82</v>
      </c>
      <c r="B85" s="227"/>
      <c r="C85" s="227"/>
      <c r="D85" s="227"/>
      <c r="E85" s="227"/>
      <c r="F85" s="227"/>
      <c r="G85" s="227"/>
      <c r="H85" s="227"/>
      <c r="I85" s="165"/>
      <c r="J85" s="15">
        <f>(757884*90%)/G11*G6</f>
        <v>812.98641239570918</v>
      </c>
      <c r="K85" s="15"/>
      <c r="L85" s="15"/>
      <c r="M85" s="15"/>
      <c r="N85" s="15">
        <f>(431588*90%)/W12*W6</f>
        <v>3437.4265486725667</v>
      </c>
      <c r="O85" s="15">
        <f t="shared" si="23"/>
        <v>4250.4129610682758</v>
      </c>
    </row>
    <row r="86" spans="1:16">
      <c r="A86" s="164" t="s">
        <v>83</v>
      </c>
      <c r="B86" s="227"/>
      <c r="C86" s="227"/>
      <c r="D86" s="227"/>
      <c r="E86" s="227"/>
      <c r="F86" s="227"/>
      <c r="G86" s="227"/>
      <c r="H86" s="227"/>
      <c r="I86" s="165"/>
      <c r="J86" s="15">
        <f>(447818*50%)/G11*G6</f>
        <v>266.87604290822406</v>
      </c>
      <c r="K86" s="15"/>
      <c r="L86" s="15"/>
      <c r="M86" s="15"/>
      <c r="N86" s="15">
        <f>(1528736*50%)/106*1</f>
        <v>7211.0188679245284</v>
      </c>
      <c r="O86" s="15">
        <f t="shared" si="23"/>
        <v>7477.8949108327524</v>
      </c>
    </row>
    <row r="87" spans="1:16">
      <c r="A87" s="164" t="s">
        <v>84</v>
      </c>
      <c r="B87" s="227"/>
      <c r="C87" s="227"/>
      <c r="D87" s="227"/>
      <c r="E87" s="227"/>
      <c r="F87" s="227"/>
      <c r="G87" s="227"/>
      <c r="H87" s="227"/>
      <c r="I87" s="165"/>
      <c r="J87" s="15">
        <f>(287848+397855)/G11*G6</f>
        <v>817.28605482717524</v>
      </c>
      <c r="K87" s="15"/>
      <c r="L87" s="15"/>
      <c r="M87" s="15"/>
      <c r="N87" s="15">
        <f>227766/W12*W6</f>
        <v>2015.6283185840707</v>
      </c>
      <c r="O87" s="15">
        <f t="shared" si="23"/>
        <v>2832.9143734112458</v>
      </c>
    </row>
    <row r="88" spans="1:16">
      <c r="A88" s="164" t="s">
        <v>127</v>
      </c>
      <c r="B88" s="227"/>
      <c r="C88" s="227"/>
      <c r="D88" s="227"/>
      <c r="E88" s="227"/>
      <c r="F88" s="227"/>
      <c r="G88" s="227"/>
      <c r="H88" s="227"/>
      <c r="I88" s="165"/>
      <c r="J88" s="15"/>
      <c r="K88" s="15"/>
      <c r="L88" s="15"/>
      <c r="M88" s="15"/>
      <c r="N88" s="15"/>
      <c r="O88" s="15">
        <f t="shared" si="23"/>
        <v>0</v>
      </c>
    </row>
    <row r="89" spans="1:16">
      <c r="A89" s="164" t="s">
        <v>128</v>
      </c>
      <c r="B89" s="227"/>
      <c r="C89" s="227"/>
      <c r="D89" s="227"/>
      <c r="E89" s="227"/>
      <c r="F89" s="227"/>
      <c r="G89" s="227"/>
      <c r="H89" s="227"/>
      <c r="I89" s="165"/>
      <c r="J89" s="15"/>
      <c r="K89" s="15"/>
      <c r="L89" s="15"/>
      <c r="M89" s="15"/>
      <c r="N89" s="15"/>
      <c r="O89" s="15">
        <f t="shared" si="23"/>
        <v>0</v>
      </c>
    </row>
    <row r="90" spans="1:16">
      <c r="A90" s="228" t="s">
        <v>129</v>
      </c>
      <c r="B90" s="163"/>
      <c r="C90" s="163"/>
      <c r="D90" s="163"/>
      <c r="E90" s="163"/>
      <c r="F90" s="163"/>
      <c r="G90" s="163"/>
      <c r="H90" s="163"/>
      <c r="I90" s="229"/>
      <c r="J90" s="15">
        <f>J91</f>
        <v>694</v>
      </c>
      <c r="K90" s="15">
        <f t="shared" ref="K90:N90" si="24">K91</f>
        <v>0</v>
      </c>
      <c r="L90" s="15">
        <f t="shared" si="24"/>
        <v>0</v>
      </c>
      <c r="M90" s="15">
        <f t="shared" si="24"/>
        <v>0</v>
      </c>
      <c r="N90" s="15">
        <f t="shared" si="24"/>
        <v>1947.5094339622642</v>
      </c>
      <c r="O90" s="15">
        <f t="shared" si="23"/>
        <v>2641.5094339622642</v>
      </c>
    </row>
    <row r="91" spans="1:16">
      <c r="A91" s="233" t="s">
        <v>132</v>
      </c>
      <c r="B91" s="234"/>
      <c r="C91" s="234"/>
      <c r="D91" s="234"/>
      <c r="E91" s="234"/>
      <c r="F91" s="234"/>
      <c r="G91" s="234"/>
      <c r="H91" s="234"/>
      <c r="I91" s="235"/>
      <c r="J91" s="15">
        <v>694</v>
      </c>
      <c r="K91" s="15"/>
      <c r="L91" s="15"/>
      <c r="M91" s="15"/>
      <c r="N91" s="15">
        <f>206436/106*1</f>
        <v>1947.5094339622642</v>
      </c>
      <c r="O91" s="15">
        <f t="shared" si="23"/>
        <v>2641.5094339622642</v>
      </c>
    </row>
    <row r="92" spans="1:16">
      <c r="A92" s="164" t="s">
        <v>131</v>
      </c>
      <c r="B92" s="227"/>
      <c r="C92" s="227"/>
      <c r="D92" s="227"/>
      <c r="E92" s="227"/>
      <c r="F92" s="227"/>
      <c r="G92" s="227"/>
      <c r="H92" s="227"/>
      <c r="I92" s="165"/>
      <c r="J92" s="15">
        <f>J93</f>
        <v>8577.3997616209781</v>
      </c>
      <c r="K92" s="15">
        <f>K93</f>
        <v>2481.8566552901025</v>
      </c>
      <c r="L92" s="15">
        <f t="shared" ref="L92:N92" si="25">L93</f>
        <v>0</v>
      </c>
      <c r="M92" s="15">
        <f t="shared" si="25"/>
        <v>0</v>
      </c>
      <c r="N92" s="15">
        <f t="shared" si="25"/>
        <v>27595.567273334447</v>
      </c>
      <c r="O92" s="15">
        <f t="shared" si="23"/>
        <v>38654.823690245525</v>
      </c>
    </row>
    <row r="93" spans="1:16">
      <c r="A93" s="233" t="s">
        <v>130</v>
      </c>
      <c r="B93" s="234"/>
      <c r="C93" s="234"/>
      <c r="D93" s="234"/>
      <c r="E93" s="234"/>
      <c r="F93" s="234"/>
      <c r="G93" s="234"/>
      <c r="H93" s="234"/>
      <c r="I93" s="235"/>
      <c r="J93" s="15">
        <f>(J7+J8+J16+J17)/G11*G6-J90-J84</f>
        <v>8577.3997616209781</v>
      </c>
      <c r="K93" s="15">
        <f>(N7+N8+N16)/K9*K8</f>
        <v>2481.8566552901025</v>
      </c>
      <c r="L93" s="15"/>
      <c r="M93" s="15"/>
      <c r="N93" s="15">
        <f>(Z7+Z8+Z16+Z17)/W12*W6-N84-N90</f>
        <v>27595.567273334447</v>
      </c>
      <c r="O93" s="15">
        <f t="shared" si="23"/>
        <v>38654.823690245525</v>
      </c>
      <c r="P93" s="11"/>
    </row>
    <row r="94" spans="1:16">
      <c r="A94" s="260" t="s">
        <v>93</v>
      </c>
      <c r="B94" s="261"/>
      <c r="C94" s="261"/>
      <c r="D94" s="261"/>
      <c r="E94" s="261"/>
      <c r="F94" s="261"/>
      <c r="G94" s="261"/>
      <c r="H94" s="261"/>
      <c r="I94" s="262"/>
      <c r="J94" s="75">
        <f>J77+J82</f>
        <v>16424.586412395707</v>
      </c>
      <c r="K94" s="75">
        <f t="shared" ref="K94:O94" si="26">K77+K82</f>
        <v>7706.8976109215018</v>
      </c>
      <c r="L94" s="75">
        <f t="shared" si="26"/>
        <v>0</v>
      </c>
      <c r="M94" s="75">
        <f t="shared" si="26"/>
        <v>0</v>
      </c>
      <c r="N94" s="75">
        <f t="shared" si="26"/>
        <v>50405.150442477876</v>
      </c>
      <c r="O94" s="75">
        <f t="shared" si="26"/>
        <v>74536.634465795083</v>
      </c>
    </row>
    <row r="95" spans="1:16">
      <c r="A95" t="s">
        <v>61</v>
      </c>
      <c r="J95" s="8">
        <f>J94/1</f>
        <v>16424.586412395707</v>
      </c>
      <c r="K95" s="8">
        <f>K94/1</f>
        <v>7706.8976109215018</v>
      </c>
      <c r="L95" s="8"/>
      <c r="M95" s="8"/>
      <c r="N95" s="8">
        <f>N94/1</f>
        <v>50405.150442477876</v>
      </c>
    </row>
    <row r="96" spans="1:16" ht="16.5">
      <c r="L96" s="30"/>
      <c r="M96" s="162" t="s">
        <v>175</v>
      </c>
      <c r="N96" s="30"/>
      <c r="O96" s="30"/>
    </row>
    <row r="97" spans="1:15">
      <c r="L97" s="4" t="s">
        <v>217</v>
      </c>
      <c r="M97" s="4"/>
      <c r="N97" s="30"/>
      <c r="O97" s="30"/>
    </row>
    <row r="98" spans="1:15" ht="30">
      <c r="A98" s="224" t="s">
        <v>152</v>
      </c>
      <c r="B98" s="225"/>
      <c r="C98" s="225"/>
      <c r="D98" s="225"/>
      <c r="E98" s="225"/>
      <c r="F98" s="225"/>
      <c r="G98" s="225"/>
      <c r="H98" s="225"/>
      <c r="I98" s="226"/>
      <c r="J98" s="17" t="s">
        <v>94</v>
      </c>
      <c r="K98" s="17" t="s">
        <v>95</v>
      </c>
      <c r="L98" s="16" t="s">
        <v>96</v>
      </c>
      <c r="M98" s="17" t="s">
        <v>97</v>
      </c>
      <c r="N98" s="17" t="s">
        <v>98</v>
      </c>
      <c r="O98" s="17" t="s">
        <v>93</v>
      </c>
    </row>
    <row r="99" spans="1:15">
      <c r="A99" s="271" t="s">
        <v>140</v>
      </c>
      <c r="B99" s="272"/>
      <c r="C99" s="272"/>
      <c r="D99" s="272"/>
      <c r="E99" s="272"/>
      <c r="F99" s="272"/>
      <c r="G99" s="272"/>
      <c r="H99" s="272"/>
      <c r="I99" s="272"/>
      <c r="J99" s="272"/>
      <c r="K99" s="272"/>
      <c r="L99" s="272"/>
      <c r="M99" s="272"/>
      <c r="N99" s="272"/>
      <c r="O99" s="273"/>
    </row>
    <row r="100" spans="1:15">
      <c r="A100" s="266" t="s">
        <v>80</v>
      </c>
      <c r="B100" s="267"/>
      <c r="C100" s="267"/>
      <c r="D100" s="267"/>
      <c r="E100" s="267"/>
      <c r="F100" s="267"/>
      <c r="G100" s="267"/>
      <c r="H100" s="267"/>
      <c r="I100" s="268"/>
      <c r="J100" s="76">
        <f>J101+J102+J104</f>
        <v>262801.90703218116</v>
      </c>
      <c r="K100" s="76">
        <f>K101+K102+K104</f>
        <v>135851.06484641638</v>
      </c>
      <c r="L100" s="76">
        <f t="shared" ref="L100:O100" si="27">L101+L102+L104</f>
        <v>323598.23943661968</v>
      </c>
      <c r="M100" s="76">
        <f t="shared" si="27"/>
        <v>9452.461538461539</v>
      </c>
      <c r="N100" s="76">
        <f t="shared" si="27"/>
        <v>106574</v>
      </c>
      <c r="O100" s="76">
        <f t="shared" si="27"/>
        <v>838277.67285367893</v>
      </c>
    </row>
    <row r="101" spans="1:15">
      <c r="A101" s="248" t="s">
        <v>120</v>
      </c>
      <c r="B101" s="269"/>
      <c r="C101" s="269"/>
      <c r="D101" s="269"/>
      <c r="E101" s="269"/>
      <c r="F101" s="269"/>
      <c r="G101" s="269"/>
      <c r="H101" s="269"/>
      <c r="I101" s="270"/>
      <c r="J101" s="2"/>
      <c r="K101" s="2"/>
      <c r="L101" s="2"/>
      <c r="M101" s="2"/>
      <c r="N101" s="2"/>
      <c r="O101" s="76"/>
    </row>
    <row r="102" spans="1:15">
      <c r="A102" s="164" t="s">
        <v>121</v>
      </c>
      <c r="B102" s="227"/>
      <c r="C102" s="227"/>
      <c r="D102" s="227"/>
      <c r="E102" s="227"/>
      <c r="F102" s="227"/>
      <c r="G102" s="227"/>
      <c r="H102" s="227"/>
      <c r="I102" s="165"/>
      <c r="J102" s="15">
        <f>J103</f>
        <v>80816.686531585219</v>
      </c>
      <c r="K102" s="15">
        <f t="shared" ref="K102:N102" si="28">K103</f>
        <v>71717.228668941985</v>
      </c>
      <c r="L102" s="15">
        <f t="shared" si="28"/>
        <v>127302.64084507042</v>
      </c>
      <c r="M102" s="15">
        <f t="shared" si="28"/>
        <v>3557.6923076923076</v>
      </c>
      <c r="N102" s="15">
        <f t="shared" si="28"/>
        <v>41269.132743362832</v>
      </c>
      <c r="O102" s="76">
        <f>SUM(J102:N102)</f>
        <v>324663.38109665283</v>
      </c>
    </row>
    <row r="103" spans="1:15">
      <c r="A103" s="233" t="s">
        <v>122</v>
      </c>
      <c r="B103" s="234"/>
      <c r="C103" s="234"/>
      <c r="D103" s="234"/>
      <c r="E103" s="234"/>
      <c r="F103" s="234"/>
      <c r="G103" s="234"/>
      <c r="H103" s="234"/>
      <c r="I103" s="235"/>
      <c r="J103" s="15">
        <f>(J9+J10)/G11*G7</f>
        <v>80816.686531585219</v>
      </c>
      <c r="K103" s="15">
        <f>(N9+N10)/K9*K7</f>
        <v>71717.228668941985</v>
      </c>
      <c r="L103" s="15">
        <f>(R9+R10)/O9*O7</f>
        <v>127302.64084507042</v>
      </c>
      <c r="M103" s="15">
        <f>(V9+V10)/S12*S7</f>
        <v>3557.6923076923076</v>
      </c>
      <c r="N103" s="15">
        <f>(Z9+Z10)/W12*W7</f>
        <v>41269.132743362832</v>
      </c>
      <c r="O103" s="76">
        <f t="shared" ref="O103:O104" si="29">SUM(J103:N103)</f>
        <v>324663.38109665283</v>
      </c>
    </row>
    <row r="104" spans="1:15">
      <c r="A104" s="164" t="s">
        <v>123</v>
      </c>
      <c r="B104" s="227"/>
      <c r="C104" s="227"/>
      <c r="D104" s="227"/>
      <c r="E104" s="227"/>
      <c r="F104" s="227"/>
      <c r="G104" s="227"/>
      <c r="H104" s="227"/>
      <c r="I104" s="165"/>
      <c r="J104" s="15">
        <f>(J4+J5+J11)/G11*G7</f>
        <v>181985.22050059593</v>
      </c>
      <c r="K104" s="15">
        <f>(N4+N5+N11)/K9*K7</f>
        <v>64133.836177474397</v>
      </c>
      <c r="L104" s="15">
        <f>(R4+R5+R11)/O9*O7</f>
        <v>196295.59859154929</v>
      </c>
      <c r="M104" s="15">
        <f>(V4+V5+V11)/S12*S7</f>
        <v>5894.7692307692305</v>
      </c>
      <c r="N104" s="15">
        <f>(Z4+Z5+Z11)/W12*W7</f>
        <v>65304.867256637175</v>
      </c>
      <c r="O104" s="76">
        <f t="shared" si="29"/>
        <v>513614.29175702611</v>
      </c>
    </row>
    <row r="105" spans="1:15">
      <c r="A105" s="263" t="s">
        <v>87</v>
      </c>
      <c r="B105" s="264"/>
      <c r="C105" s="264"/>
      <c r="D105" s="264"/>
      <c r="E105" s="264"/>
      <c r="F105" s="264"/>
      <c r="G105" s="264"/>
      <c r="H105" s="264"/>
      <c r="I105" s="265"/>
      <c r="J105" s="76">
        <f>J106+J107+J111+J112+J113+J115</f>
        <v>558427.4135876043</v>
      </c>
      <c r="K105" s="76">
        <f>K106+K107+K111+K112+K113+K115</f>
        <v>64528.273037542662</v>
      </c>
      <c r="L105" s="76">
        <f t="shared" ref="L105:N105" si="30">L106+L107+L111+L112+L113+L115</f>
        <v>1550827.2887323943</v>
      </c>
      <c r="M105" s="76">
        <f t="shared" si="30"/>
        <v>57028.923076923085</v>
      </c>
      <c r="N105" s="76">
        <f t="shared" si="30"/>
        <v>548692.95575221244</v>
      </c>
      <c r="O105" s="76">
        <f>SUM(J105:N105)</f>
        <v>2779504.8541866769</v>
      </c>
    </row>
    <row r="106" spans="1:15">
      <c r="A106" s="233" t="s">
        <v>125</v>
      </c>
      <c r="B106" s="234"/>
      <c r="C106" s="234"/>
      <c r="D106" s="234"/>
      <c r="E106" s="234"/>
      <c r="F106" s="234"/>
      <c r="G106" s="234"/>
      <c r="H106" s="234"/>
      <c r="I106" s="235"/>
      <c r="J106" s="15"/>
      <c r="K106" s="15"/>
      <c r="L106" s="15"/>
      <c r="M106" s="15"/>
      <c r="N106" s="15"/>
      <c r="O106" s="76">
        <f t="shared" ref="O106:O116" si="31">SUM(J106:N106)</f>
        <v>0</v>
      </c>
    </row>
    <row r="107" spans="1:15">
      <c r="A107" s="164" t="s">
        <v>126</v>
      </c>
      <c r="B107" s="227"/>
      <c r="C107" s="227"/>
      <c r="D107" s="227"/>
      <c r="E107" s="227"/>
      <c r="F107" s="227"/>
      <c r="G107" s="227"/>
      <c r="H107" s="227"/>
      <c r="I107" s="165"/>
      <c r="J107" s="15">
        <f>J108+J109+J110</f>
        <v>212855.04171632894</v>
      </c>
      <c r="K107" s="15">
        <f t="shared" ref="K107:N107" si="32">K108+K109+K110</f>
        <v>0</v>
      </c>
      <c r="L107" s="15">
        <f t="shared" si="32"/>
        <v>556266.54929577466</v>
      </c>
      <c r="M107" s="15">
        <f t="shared" si="32"/>
        <v>19270.151923076923</v>
      </c>
      <c r="N107" s="15">
        <f t="shared" si="32"/>
        <v>177828.86597094673</v>
      </c>
      <c r="O107" s="76">
        <f t="shared" si="31"/>
        <v>966220.60890612728</v>
      </c>
    </row>
    <row r="108" spans="1:15">
      <c r="A108" s="164" t="s">
        <v>82</v>
      </c>
      <c r="B108" s="227"/>
      <c r="C108" s="227"/>
      <c r="D108" s="227"/>
      <c r="E108" s="227"/>
      <c r="F108" s="227"/>
      <c r="G108" s="227"/>
      <c r="H108" s="227"/>
      <c r="I108" s="165"/>
      <c r="J108" s="15">
        <f>(757884*90%)/G11*G7</f>
        <v>40649.32061978546</v>
      </c>
      <c r="K108" s="15"/>
      <c r="L108" s="15">
        <f>(1868455*90%)/O9*O7</f>
        <v>296058.01056338026</v>
      </c>
      <c r="M108" s="15">
        <f>(89496*90%)/S12*S7</f>
        <v>1548.969230769231</v>
      </c>
      <c r="N108" s="15">
        <f>(431588*90%)/W12*W7</f>
        <v>44686.545132743369</v>
      </c>
      <c r="O108" s="76">
        <f t="shared" si="31"/>
        <v>382942.84554667829</v>
      </c>
    </row>
    <row r="109" spans="1:15">
      <c r="A109" s="164" t="s">
        <v>83</v>
      </c>
      <c r="B109" s="227"/>
      <c r="C109" s="227"/>
      <c r="D109" s="227"/>
      <c r="E109" s="227"/>
      <c r="F109" s="227"/>
      <c r="G109" s="227"/>
      <c r="H109" s="227"/>
      <c r="I109" s="165"/>
      <c r="J109" s="15">
        <f>(4407818*50%)/G11*G7</f>
        <v>131341.41835518472</v>
      </c>
      <c r="K109" s="15"/>
      <c r="L109" s="15">
        <f>(1882269*50%)/O9*O7</f>
        <v>165692.69366197183</v>
      </c>
      <c r="M109" s="15">
        <f>(1808697*50%)/S12*S7</f>
        <v>17391.317307692309</v>
      </c>
      <c r="N109" s="15">
        <f>(1528736*50%)/W12*W7</f>
        <v>87936.14159292035</v>
      </c>
      <c r="O109" s="76">
        <f t="shared" si="31"/>
        <v>402361.57091776922</v>
      </c>
    </row>
    <row r="110" spans="1:15">
      <c r="A110" s="164" t="s">
        <v>84</v>
      </c>
      <c r="B110" s="227"/>
      <c r="C110" s="227"/>
      <c r="D110" s="227"/>
      <c r="E110" s="227"/>
      <c r="F110" s="227"/>
      <c r="G110" s="227"/>
      <c r="H110" s="227"/>
      <c r="I110" s="165"/>
      <c r="J110" s="15">
        <f>(287848+397855)/G11*G7</f>
        <v>40864.302741358762</v>
      </c>
      <c r="K110" s="15"/>
      <c r="L110" s="15">
        <f>(220718+316132)/O9*O7</f>
        <v>94515.84507042254</v>
      </c>
      <c r="M110" s="15">
        <f>17153/S12*S7</f>
        <v>329.86538461538464</v>
      </c>
      <c r="N110" s="15">
        <f>(131340+188117)/106*15</f>
        <v>45206.17924528302</v>
      </c>
      <c r="O110" s="76">
        <f t="shared" si="31"/>
        <v>180916.19244167968</v>
      </c>
    </row>
    <row r="111" spans="1:15">
      <c r="A111" s="164" t="s">
        <v>127</v>
      </c>
      <c r="B111" s="227"/>
      <c r="C111" s="227"/>
      <c r="D111" s="227"/>
      <c r="E111" s="227"/>
      <c r="F111" s="227"/>
      <c r="G111" s="227"/>
      <c r="H111" s="227"/>
      <c r="I111" s="165"/>
      <c r="J111" s="15"/>
      <c r="K111" s="15"/>
      <c r="L111" s="15"/>
      <c r="M111" s="15"/>
      <c r="N111" s="15"/>
      <c r="O111" s="76">
        <f t="shared" si="31"/>
        <v>0</v>
      </c>
    </row>
    <row r="112" spans="1:15">
      <c r="A112" s="164" t="s">
        <v>128</v>
      </c>
      <c r="B112" s="227"/>
      <c r="C112" s="227"/>
      <c r="D112" s="227"/>
      <c r="E112" s="227"/>
      <c r="F112" s="227"/>
      <c r="G112" s="227"/>
      <c r="H112" s="227"/>
      <c r="I112" s="165"/>
      <c r="J112" s="15"/>
      <c r="K112" s="15"/>
      <c r="L112" s="15"/>
      <c r="M112" s="15"/>
      <c r="N112" s="15"/>
      <c r="O112" s="76">
        <f t="shared" si="31"/>
        <v>0</v>
      </c>
    </row>
    <row r="113" spans="1:15">
      <c r="A113" s="228" t="s">
        <v>129</v>
      </c>
      <c r="B113" s="163"/>
      <c r="C113" s="163"/>
      <c r="D113" s="163"/>
      <c r="E113" s="163"/>
      <c r="F113" s="163"/>
      <c r="G113" s="163"/>
      <c r="H113" s="163"/>
      <c r="I113" s="229"/>
      <c r="J113" s="15">
        <f>J114</f>
        <v>34702.562574493444</v>
      </c>
      <c r="K113" s="15">
        <f>K114</f>
        <v>0</v>
      </c>
      <c r="L113" s="15">
        <f t="shared" ref="L113:N113" si="33">L114</f>
        <v>45170.598591549293</v>
      </c>
      <c r="M113" s="15">
        <f t="shared" si="33"/>
        <v>4379.4423076923076</v>
      </c>
      <c r="N113" s="15">
        <f t="shared" si="33"/>
        <v>23749.274336283186</v>
      </c>
      <c r="O113" s="76">
        <f t="shared" si="31"/>
        <v>108001.87781001822</v>
      </c>
    </row>
    <row r="114" spans="1:15">
      <c r="A114" s="233" t="s">
        <v>132</v>
      </c>
      <c r="B114" s="234"/>
      <c r="C114" s="234"/>
      <c r="D114" s="234"/>
      <c r="E114" s="234"/>
      <c r="F114" s="234"/>
      <c r="G114" s="234"/>
      <c r="H114" s="234"/>
      <c r="I114" s="235"/>
      <c r="J114" s="15">
        <f>(150192+206166+37607+42355+42438+3423+100128)/G11*G7</f>
        <v>34702.562574493444</v>
      </c>
      <c r="K114" s="15"/>
      <c r="L114" s="15">
        <f>256569/O9*O7</f>
        <v>45170.598591549293</v>
      </c>
      <c r="M114" s="15">
        <f>227731/S12*S7</f>
        <v>4379.4423076923076</v>
      </c>
      <c r="N114" s="15">
        <f>206436/W12*W7</f>
        <v>23749.274336283186</v>
      </c>
      <c r="O114" s="76">
        <f t="shared" si="31"/>
        <v>108001.87781001822</v>
      </c>
    </row>
    <row r="115" spans="1:15">
      <c r="A115" s="164" t="s">
        <v>131</v>
      </c>
      <c r="B115" s="227"/>
      <c r="C115" s="227"/>
      <c r="D115" s="227"/>
      <c r="E115" s="227"/>
      <c r="F115" s="227"/>
      <c r="G115" s="227"/>
      <c r="H115" s="227"/>
      <c r="I115" s="165"/>
      <c r="J115" s="15">
        <f>J116</f>
        <v>310869.8092967819</v>
      </c>
      <c r="K115" s="15">
        <f>K116</f>
        <v>64528.273037542662</v>
      </c>
      <c r="L115" s="15">
        <f>L116</f>
        <v>949390.14084507036</v>
      </c>
      <c r="M115" s="15">
        <f t="shared" ref="M115:N115" si="34">M116</f>
        <v>33379.328846153854</v>
      </c>
      <c r="N115" s="15">
        <f t="shared" si="34"/>
        <v>347114.81544498249</v>
      </c>
      <c r="O115" s="76">
        <f t="shared" si="31"/>
        <v>1705282.3674705313</v>
      </c>
    </row>
    <row r="116" spans="1:15">
      <c r="A116" s="233" t="s">
        <v>130</v>
      </c>
      <c r="B116" s="234"/>
      <c r="C116" s="234"/>
      <c r="D116" s="234"/>
      <c r="E116" s="234"/>
      <c r="F116" s="234"/>
      <c r="G116" s="234"/>
      <c r="H116" s="234"/>
      <c r="I116" s="235"/>
      <c r="J116" s="15">
        <f>(J7+J8+J16+J17)/G11*G7-J107-J113</f>
        <v>310869.8092967819</v>
      </c>
      <c r="K116" s="15">
        <f>(N7+N8+N16)/K9*K7</f>
        <v>64528.273037542662</v>
      </c>
      <c r="L116" s="15">
        <f>(R7+R8+R16+R17)/O9*O7-L107-L113</f>
        <v>949390.14084507036</v>
      </c>
      <c r="M116" s="15">
        <f>(V7+V8+V16+V17)/S12-M107-M113</f>
        <v>33379.328846153854</v>
      </c>
      <c r="N116" s="15">
        <f>(Z7+Z8+Z16+Z17)/W12*W7-N107-N113</f>
        <v>347114.81544498249</v>
      </c>
      <c r="O116" s="76">
        <f t="shared" si="31"/>
        <v>1705282.3674705313</v>
      </c>
    </row>
    <row r="117" spans="1:15">
      <c r="A117" s="260" t="s">
        <v>93</v>
      </c>
      <c r="B117" s="261"/>
      <c r="C117" s="261"/>
      <c r="D117" s="261"/>
      <c r="E117" s="261"/>
      <c r="F117" s="261"/>
      <c r="G117" s="261"/>
      <c r="H117" s="261"/>
      <c r="I117" s="262"/>
      <c r="J117" s="75">
        <f>J100+J105</f>
        <v>821229.32061978546</v>
      </c>
      <c r="K117" s="75">
        <f t="shared" ref="K117:O117" si="35">K100+K105</f>
        <v>200379.33788395906</v>
      </c>
      <c r="L117" s="75">
        <f t="shared" si="35"/>
        <v>1874425.528169014</v>
      </c>
      <c r="M117" s="75">
        <f t="shared" si="35"/>
        <v>66481.384615384624</v>
      </c>
      <c r="N117" s="75">
        <f t="shared" si="35"/>
        <v>655266.95575221244</v>
      </c>
      <c r="O117" s="75">
        <f t="shared" si="35"/>
        <v>3617782.5270403558</v>
      </c>
    </row>
    <row r="118" spans="1:15">
      <c r="A118" t="s">
        <v>61</v>
      </c>
      <c r="J118" s="8">
        <f>J117/G7</f>
        <v>16424.586412395711</v>
      </c>
      <c r="K118" s="8">
        <f>K117/K7</f>
        <v>7706.8976109215018</v>
      </c>
      <c r="L118" s="8">
        <f>L117/O7</f>
        <v>37488.510563380281</v>
      </c>
      <c r="M118" s="8">
        <f>M117/S7</f>
        <v>66481.384615384624</v>
      </c>
      <c r="N118" s="8">
        <f>N117/W7</f>
        <v>50405.150442477883</v>
      </c>
    </row>
    <row r="121" spans="1:15" ht="16.5">
      <c r="L121" s="30"/>
      <c r="M121" s="162" t="s">
        <v>176</v>
      </c>
      <c r="N121" s="30"/>
      <c r="O121" s="30"/>
    </row>
    <row r="122" spans="1:15">
      <c r="L122" s="4" t="s">
        <v>217</v>
      </c>
      <c r="M122" s="4"/>
      <c r="N122" s="30"/>
      <c r="O122" s="30"/>
    </row>
    <row r="123" spans="1:15" ht="30">
      <c r="A123" s="224" t="s">
        <v>152</v>
      </c>
      <c r="B123" s="225"/>
      <c r="C123" s="225"/>
      <c r="D123" s="225"/>
      <c r="E123" s="225"/>
      <c r="F123" s="225"/>
      <c r="G123" s="225"/>
      <c r="H123" s="225"/>
      <c r="I123" s="226"/>
      <c r="J123" s="17" t="s">
        <v>94</v>
      </c>
      <c r="K123" s="17" t="s">
        <v>95</v>
      </c>
      <c r="L123" s="16" t="s">
        <v>96</v>
      </c>
      <c r="M123" s="17" t="s">
        <v>97</v>
      </c>
      <c r="N123" s="17" t="s">
        <v>98</v>
      </c>
      <c r="O123" s="17" t="s">
        <v>93</v>
      </c>
    </row>
    <row r="124" spans="1:15">
      <c r="A124" s="271" t="s">
        <v>141</v>
      </c>
      <c r="B124" s="272"/>
      <c r="C124" s="272"/>
      <c r="D124" s="272"/>
      <c r="E124" s="272"/>
      <c r="F124" s="272"/>
      <c r="G124" s="272"/>
      <c r="H124" s="272"/>
      <c r="I124" s="272"/>
      <c r="J124" s="272"/>
      <c r="K124" s="272"/>
      <c r="L124" s="272"/>
      <c r="M124" s="272"/>
      <c r="N124" s="272"/>
      <c r="O124" s="273"/>
    </row>
    <row r="125" spans="1:15">
      <c r="A125" s="266" t="s">
        <v>80</v>
      </c>
      <c r="B125" s="267"/>
      <c r="C125" s="267"/>
      <c r="D125" s="267"/>
      <c r="E125" s="267"/>
      <c r="F125" s="267"/>
      <c r="G125" s="267"/>
      <c r="H125" s="267"/>
      <c r="I125" s="268"/>
      <c r="J125" s="76">
        <f>J126+J127+J129</f>
        <v>0</v>
      </c>
      <c r="K125" s="76">
        <f>K126+K127+K129</f>
        <v>0</v>
      </c>
      <c r="L125" s="76">
        <f t="shared" ref="L125:N125" si="36">L126+L127+L129</f>
        <v>0</v>
      </c>
      <c r="M125" s="76">
        <f t="shared" si="36"/>
        <v>0</v>
      </c>
      <c r="N125" s="76">
        <f t="shared" si="36"/>
        <v>0</v>
      </c>
      <c r="O125" s="76">
        <f>SUM(J125:N125)</f>
        <v>0</v>
      </c>
    </row>
    <row r="126" spans="1:15">
      <c r="A126" s="248" t="s">
        <v>120</v>
      </c>
      <c r="B126" s="269"/>
      <c r="C126" s="269"/>
      <c r="D126" s="269"/>
      <c r="E126" s="269"/>
      <c r="F126" s="269"/>
      <c r="G126" s="269"/>
      <c r="H126" s="269"/>
      <c r="I126" s="270"/>
      <c r="J126" s="2"/>
      <c r="K126" s="2"/>
      <c r="L126" s="2"/>
      <c r="M126" s="2"/>
      <c r="N126" s="2"/>
      <c r="O126" s="76">
        <f t="shared" ref="O126:O129" si="37">SUM(J126:N126)</f>
        <v>0</v>
      </c>
    </row>
    <row r="127" spans="1:15">
      <c r="A127" s="164" t="s">
        <v>121</v>
      </c>
      <c r="B127" s="227"/>
      <c r="C127" s="227"/>
      <c r="D127" s="227"/>
      <c r="E127" s="227"/>
      <c r="F127" s="227"/>
      <c r="G127" s="227"/>
      <c r="H127" s="227"/>
      <c r="I127" s="165"/>
      <c r="J127" s="15"/>
      <c r="K127" s="15">
        <f t="shared" ref="K127:N127" si="38">K128</f>
        <v>0</v>
      </c>
      <c r="L127" s="15">
        <f t="shared" si="38"/>
        <v>0</v>
      </c>
      <c r="M127" s="15">
        <f t="shared" si="38"/>
        <v>0</v>
      </c>
      <c r="N127" s="15">
        <f t="shared" si="38"/>
        <v>0</v>
      </c>
      <c r="O127" s="76">
        <f t="shared" si="37"/>
        <v>0</v>
      </c>
    </row>
    <row r="128" spans="1:15">
      <c r="A128" s="233" t="s">
        <v>122</v>
      </c>
      <c r="B128" s="234"/>
      <c r="C128" s="234"/>
      <c r="D128" s="234"/>
      <c r="E128" s="234"/>
      <c r="F128" s="234"/>
      <c r="G128" s="234"/>
      <c r="H128" s="234"/>
      <c r="I128" s="235"/>
      <c r="J128" s="15"/>
      <c r="K128" s="15"/>
      <c r="L128" s="15">
        <f>724000/O9*O8</f>
        <v>0</v>
      </c>
      <c r="M128" s="15"/>
      <c r="N128" s="15"/>
      <c r="O128" s="76">
        <f t="shared" si="37"/>
        <v>0</v>
      </c>
    </row>
    <row r="129" spans="1:15">
      <c r="A129" s="164" t="s">
        <v>123</v>
      </c>
      <c r="B129" s="227"/>
      <c r="C129" s="227"/>
      <c r="D129" s="227"/>
      <c r="E129" s="227"/>
      <c r="F129" s="227"/>
      <c r="G129" s="227"/>
      <c r="H129" s="227"/>
      <c r="I129" s="165"/>
      <c r="J129" s="15"/>
      <c r="K129" s="15"/>
      <c r="L129" s="15">
        <f>1314331/O9*O8</f>
        <v>0</v>
      </c>
      <c r="M129" s="15"/>
      <c r="N129" s="15"/>
      <c r="O129" s="76">
        <f t="shared" si="37"/>
        <v>0</v>
      </c>
    </row>
    <row r="130" spans="1:15">
      <c r="A130" s="274" t="s">
        <v>87</v>
      </c>
      <c r="B130" s="275"/>
      <c r="C130" s="275"/>
      <c r="D130" s="275"/>
      <c r="E130" s="275"/>
      <c r="F130" s="275"/>
      <c r="G130" s="275"/>
      <c r="H130" s="275"/>
      <c r="I130" s="276"/>
      <c r="J130" s="76">
        <f>J131+J132+J136+J137+J138+J140</f>
        <v>0</v>
      </c>
      <c r="K130" s="76">
        <f>K131+K132+K136+K137+K138+K140</f>
        <v>0</v>
      </c>
      <c r="L130" s="76">
        <f t="shared" ref="L130:N130" si="39">L131+L132+L136+L137+L138+L140</f>
        <v>0</v>
      </c>
      <c r="M130" s="76">
        <f t="shared" si="39"/>
        <v>0</v>
      </c>
      <c r="N130" s="76">
        <f t="shared" si="39"/>
        <v>0</v>
      </c>
      <c r="O130" s="76">
        <f>SUM(J130:N130)</f>
        <v>0</v>
      </c>
    </row>
    <row r="131" spans="1:15">
      <c r="A131" s="233" t="s">
        <v>125</v>
      </c>
      <c r="B131" s="234"/>
      <c r="C131" s="234"/>
      <c r="D131" s="234"/>
      <c r="E131" s="234"/>
      <c r="F131" s="234"/>
      <c r="G131" s="234"/>
      <c r="H131" s="234"/>
      <c r="I131" s="235"/>
      <c r="J131" s="15"/>
      <c r="K131" s="15"/>
      <c r="L131" s="15"/>
      <c r="M131" s="15"/>
      <c r="N131" s="15"/>
      <c r="O131" s="76">
        <f t="shared" ref="O131:O141" si="40">SUM(J131:N131)</f>
        <v>0</v>
      </c>
    </row>
    <row r="132" spans="1:15">
      <c r="A132" s="164" t="s">
        <v>126</v>
      </c>
      <c r="B132" s="227"/>
      <c r="C132" s="227"/>
      <c r="D132" s="227"/>
      <c r="E132" s="227"/>
      <c r="F132" s="227"/>
      <c r="G132" s="227"/>
      <c r="H132" s="227"/>
      <c r="I132" s="165"/>
      <c r="J132" s="15">
        <f>J133+J134+J135</f>
        <v>0</v>
      </c>
      <c r="K132" s="15">
        <f t="shared" ref="K132:N132" si="41">K133+K134+K135</f>
        <v>0</v>
      </c>
      <c r="L132" s="15">
        <f t="shared" si="41"/>
        <v>0</v>
      </c>
      <c r="M132" s="15">
        <f t="shared" si="41"/>
        <v>0</v>
      </c>
      <c r="N132" s="15">
        <f t="shared" si="41"/>
        <v>0</v>
      </c>
      <c r="O132" s="76">
        <f t="shared" si="40"/>
        <v>0</v>
      </c>
    </row>
    <row r="133" spans="1:15">
      <c r="A133" s="164" t="s">
        <v>82</v>
      </c>
      <c r="B133" s="227"/>
      <c r="C133" s="227"/>
      <c r="D133" s="227"/>
      <c r="E133" s="227"/>
      <c r="F133" s="227"/>
      <c r="G133" s="227"/>
      <c r="H133" s="227"/>
      <c r="I133" s="165"/>
      <c r="J133" s="15"/>
      <c r="L133" s="15">
        <f>(1611410*90%)/O9*O8</f>
        <v>0</v>
      </c>
      <c r="M133" s="15"/>
      <c r="N133" s="15"/>
      <c r="O133" s="76">
        <f t="shared" si="40"/>
        <v>0</v>
      </c>
    </row>
    <row r="134" spans="1:15">
      <c r="A134" s="164" t="s">
        <v>83</v>
      </c>
      <c r="B134" s="227"/>
      <c r="C134" s="227"/>
      <c r="D134" s="227"/>
      <c r="E134" s="227"/>
      <c r="F134" s="227"/>
      <c r="G134" s="227"/>
      <c r="H134" s="227"/>
      <c r="I134" s="165"/>
      <c r="J134" s="15"/>
      <c r="K134" s="15"/>
      <c r="L134" s="15">
        <f>(1385052*50%)/O9*O8</f>
        <v>0</v>
      </c>
      <c r="M134" s="15"/>
      <c r="N134" s="15"/>
      <c r="O134" s="76">
        <f t="shared" si="40"/>
        <v>0</v>
      </c>
    </row>
    <row r="135" spans="1:15">
      <c r="A135" s="164" t="s">
        <v>84</v>
      </c>
      <c r="B135" s="227"/>
      <c r="C135" s="227"/>
      <c r="D135" s="227"/>
      <c r="E135" s="227"/>
      <c r="F135" s="227"/>
      <c r="G135" s="227"/>
      <c r="H135" s="227"/>
      <c r="I135" s="165"/>
      <c r="J135" s="15"/>
      <c r="K135" s="15"/>
      <c r="L135" s="15">
        <f>(220718+316132)/O9*O8</f>
        <v>0</v>
      </c>
      <c r="M135" s="15"/>
      <c r="N135" s="15"/>
      <c r="O135" s="76">
        <f t="shared" si="40"/>
        <v>0</v>
      </c>
    </row>
    <row r="136" spans="1:15">
      <c r="A136" s="164" t="s">
        <v>127</v>
      </c>
      <c r="B136" s="227"/>
      <c r="C136" s="227"/>
      <c r="D136" s="227"/>
      <c r="E136" s="227"/>
      <c r="F136" s="227"/>
      <c r="G136" s="227"/>
      <c r="H136" s="227"/>
      <c r="I136" s="165"/>
      <c r="J136" s="15"/>
      <c r="K136" s="15"/>
      <c r="L136" s="15"/>
      <c r="M136" s="15"/>
      <c r="N136" s="15"/>
      <c r="O136" s="76">
        <f t="shared" si="40"/>
        <v>0</v>
      </c>
    </row>
    <row r="137" spans="1:15">
      <c r="A137" s="164" t="s">
        <v>128</v>
      </c>
      <c r="B137" s="227"/>
      <c r="C137" s="227"/>
      <c r="D137" s="227"/>
      <c r="E137" s="227"/>
      <c r="F137" s="227"/>
      <c r="G137" s="227"/>
      <c r="H137" s="227"/>
      <c r="I137" s="165"/>
      <c r="J137" s="15"/>
      <c r="K137" s="15"/>
      <c r="L137" s="15"/>
      <c r="M137" s="15"/>
      <c r="N137" s="15"/>
      <c r="O137" s="76">
        <f t="shared" si="40"/>
        <v>0</v>
      </c>
    </row>
    <row r="138" spans="1:15">
      <c r="A138" s="228" t="s">
        <v>129</v>
      </c>
      <c r="B138" s="163"/>
      <c r="C138" s="163"/>
      <c r="D138" s="163"/>
      <c r="E138" s="163"/>
      <c r="F138" s="163"/>
      <c r="G138" s="163"/>
      <c r="H138" s="163"/>
      <c r="I138" s="229"/>
      <c r="J138" s="15">
        <f>J139</f>
        <v>0</v>
      </c>
      <c r="K138" s="15">
        <f>K139</f>
        <v>0</v>
      </c>
      <c r="L138" s="15">
        <f t="shared" ref="L138:N138" si="42">L139</f>
        <v>0</v>
      </c>
      <c r="M138" s="15">
        <f t="shared" si="42"/>
        <v>0</v>
      </c>
      <c r="N138" s="15">
        <f t="shared" si="42"/>
        <v>0</v>
      </c>
      <c r="O138" s="76">
        <f t="shared" si="40"/>
        <v>0</v>
      </c>
    </row>
    <row r="139" spans="1:15">
      <c r="A139" s="233" t="s">
        <v>132</v>
      </c>
      <c r="B139" s="234"/>
      <c r="C139" s="234"/>
      <c r="D139" s="234"/>
      <c r="E139" s="234"/>
      <c r="F139" s="234"/>
      <c r="G139" s="234"/>
      <c r="H139" s="234"/>
      <c r="I139" s="235"/>
      <c r="J139" s="15"/>
      <c r="K139" s="15"/>
      <c r="L139" s="15">
        <f>256569/O9*O8</f>
        <v>0</v>
      </c>
      <c r="M139" s="15"/>
      <c r="N139" s="15"/>
      <c r="O139" s="76">
        <f t="shared" si="40"/>
        <v>0</v>
      </c>
    </row>
    <row r="140" spans="1:15">
      <c r="A140" s="164" t="s">
        <v>131</v>
      </c>
      <c r="B140" s="227"/>
      <c r="C140" s="227"/>
      <c r="D140" s="227"/>
      <c r="E140" s="227"/>
      <c r="F140" s="227"/>
      <c r="G140" s="227"/>
      <c r="H140" s="227"/>
      <c r="I140" s="165"/>
      <c r="J140" s="15">
        <f>J141</f>
        <v>0</v>
      </c>
      <c r="K140" s="15">
        <f>K141</f>
        <v>0</v>
      </c>
      <c r="L140" s="15">
        <f t="shared" ref="L140:N140" si="43">L141</f>
        <v>0</v>
      </c>
      <c r="M140" s="15">
        <f t="shared" si="43"/>
        <v>0</v>
      </c>
      <c r="N140" s="15">
        <f t="shared" si="43"/>
        <v>0</v>
      </c>
      <c r="O140" s="76">
        <f t="shared" si="40"/>
        <v>0</v>
      </c>
    </row>
    <row r="141" spans="1:15">
      <c r="A141" s="233" t="s">
        <v>130</v>
      </c>
      <c r="B141" s="234"/>
      <c r="C141" s="234"/>
      <c r="D141" s="234"/>
      <c r="E141" s="234"/>
      <c r="F141" s="234"/>
      <c r="G141" s="234"/>
      <c r="H141" s="234"/>
      <c r="I141" s="235"/>
      <c r="J141" s="15"/>
      <c r="K141" s="15"/>
      <c r="L141" s="15">
        <f>5140279/O9*O8</f>
        <v>0</v>
      </c>
      <c r="M141" s="15"/>
      <c r="N141" s="15"/>
      <c r="O141" s="76">
        <f t="shared" si="40"/>
        <v>0</v>
      </c>
    </row>
    <row r="142" spans="1:15">
      <c r="A142" s="260" t="s">
        <v>93</v>
      </c>
      <c r="B142" s="261"/>
      <c r="C142" s="261"/>
      <c r="D142" s="261"/>
      <c r="E142" s="261"/>
      <c r="F142" s="261"/>
      <c r="G142" s="261"/>
      <c r="H142" s="261"/>
      <c r="I142" s="262"/>
      <c r="J142" s="75">
        <f>J125+J130</f>
        <v>0</v>
      </c>
      <c r="K142" s="75">
        <f t="shared" ref="K142:O142" si="44">K125+K130</f>
        <v>0</v>
      </c>
      <c r="L142" s="75">
        <f t="shared" si="44"/>
        <v>0</v>
      </c>
      <c r="M142" s="75">
        <f t="shared" si="44"/>
        <v>0</v>
      </c>
      <c r="N142" s="75">
        <f t="shared" si="44"/>
        <v>0</v>
      </c>
      <c r="O142" s="75">
        <f t="shared" si="44"/>
        <v>0</v>
      </c>
    </row>
    <row r="143" spans="1:15">
      <c r="A143" t="s">
        <v>61</v>
      </c>
      <c r="J143">
        <f>J142/1</f>
        <v>0</v>
      </c>
    </row>
    <row r="146" spans="1:15" ht="16.5">
      <c r="L146" s="30"/>
      <c r="M146" s="162" t="s">
        <v>177</v>
      </c>
      <c r="N146" s="30"/>
      <c r="O146" s="30"/>
    </row>
    <row r="147" spans="1:15">
      <c r="L147" s="4" t="s">
        <v>217</v>
      </c>
      <c r="M147" s="4"/>
      <c r="N147" s="30"/>
      <c r="O147" s="30"/>
    </row>
    <row r="148" spans="1:15" ht="30">
      <c r="A148" s="224" t="s">
        <v>152</v>
      </c>
      <c r="B148" s="225"/>
      <c r="C148" s="225"/>
      <c r="D148" s="225"/>
      <c r="E148" s="225"/>
      <c r="F148" s="225"/>
      <c r="G148" s="225"/>
      <c r="H148" s="225"/>
      <c r="I148" s="226"/>
      <c r="J148" s="17" t="s">
        <v>94</v>
      </c>
      <c r="K148" s="17" t="s">
        <v>95</v>
      </c>
      <c r="L148" s="16" t="s">
        <v>96</v>
      </c>
      <c r="M148" s="17" t="s">
        <v>97</v>
      </c>
      <c r="N148" s="17" t="s">
        <v>98</v>
      </c>
      <c r="O148" s="17" t="s">
        <v>93</v>
      </c>
    </row>
    <row r="149" spans="1:15">
      <c r="A149" s="271" t="s">
        <v>142</v>
      </c>
      <c r="B149" s="272"/>
      <c r="C149" s="272"/>
      <c r="D149" s="272"/>
      <c r="E149" s="272"/>
      <c r="F149" s="272"/>
      <c r="G149" s="272"/>
      <c r="H149" s="272"/>
      <c r="I149" s="272"/>
      <c r="J149" s="272"/>
      <c r="K149" s="272"/>
      <c r="L149" s="272"/>
      <c r="M149" s="272"/>
      <c r="N149" s="272"/>
      <c r="O149" s="273"/>
    </row>
    <row r="150" spans="1:15">
      <c r="A150" s="266" t="s">
        <v>80</v>
      </c>
      <c r="B150" s="267"/>
      <c r="C150" s="267"/>
      <c r="D150" s="267"/>
      <c r="E150" s="267"/>
      <c r="F150" s="267"/>
      <c r="G150" s="267"/>
      <c r="H150" s="267"/>
      <c r="I150" s="268"/>
      <c r="J150" s="76">
        <f>J151+J152+J154</f>
        <v>157681.14421930868</v>
      </c>
      <c r="K150" s="76">
        <f>K151+K152+K154</f>
        <v>0</v>
      </c>
      <c r="L150" s="76">
        <f t="shared" ref="L150:N150" si="45">L151+L152+L154</f>
        <v>0</v>
      </c>
      <c r="M150" s="76">
        <f t="shared" si="45"/>
        <v>0</v>
      </c>
      <c r="N150" s="76">
        <f t="shared" si="45"/>
        <v>0</v>
      </c>
      <c r="O150" s="76">
        <f>SUM(J150:N150)</f>
        <v>157681.14421930868</v>
      </c>
    </row>
    <row r="151" spans="1:15">
      <c r="A151" s="248" t="s">
        <v>120</v>
      </c>
      <c r="B151" s="269"/>
      <c r="C151" s="269"/>
      <c r="D151" s="269"/>
      <c r="E151" s="269"/>
      <c r="F151" s="269"/>
      <c r="G151" s="269"/>
      <c r="H151" s="269"/>
      <c r="I151" s="270"/>
      <c r="J151" s="2"/>
      <c r="K151" s="2"/>
      <c r="L151" s="2"/>
      <c r="M151" s="2"/>
      <c r="N151" s="2"/>
      <c r="O151" s="76">
        <f t="shared" ref="O151:O154" si="46">SUM(J151:N151)</f>
        <v>0</v>
      </c>
    </row>
    <row r="152" spans="1:15">
      <c r="A152" s="164" t="s">
        <v>121</v>
      </c>
      <c r="B152" s="227"/>
      <c r="C152" s="227"/>
      <c r="D152" s="227"/>
      <c r="E152" s="227"/>
      <c r="F152" s="227"/>
      <c r="G152" s="227"/>
      <c r="H152" s="227"/>
      <c r="I152" s="165"/>
      <c r="J152" s="11">
        <f>J153</f>
        <v>48490.011918951132</v>
      </c>
      <c r="K152" s="11">
        <f>K153</f>
        <v>0</v>
      </c>
      <c r="L152" s="11">
        <f t="shared" ref="L152:N152" si="47">L153</f>
        <v>0</v>
      </c>
      <c r="M152" s="11">
        <f t="shared" si="47"/>
        <v>0</v>
      </c>
      <c r="N152" s="11">
        <f t="shared" si="47"/>
        <v>0</v>
      </c>
      <c r="O152" s="76">
        <f t="shared" si="46"/>
        <v>48490.011918951132</v>
      </c>
    </row>
    <row r="153" spans="1:15">
      <c r="A153" s="233" t="s">
        <v>122</v>
      </c>
      <c r="B153" s="234"/>
      <c r="C153" s="234"/>
      <c r="D153" s="234"/>
      <c r="E153" s="234"/>
      <c r="F153" s="234"/>
      <c r="G153" s="234"/>
      <c r="H153" s="234"/>
      <c r="I153" s="235"/>
      <c r="J153" s="15">
        <f>(J9+J10)/G11*G8</f>
        <v>48490.011918951132</v>
      </c>
      <c r="K153" s="15"/>
      <c r="L153" s="15"/>
      <c r="M153" s="15"/>
      <c r="N153" s="15"/>
      <c r="O153" s="76">
        <f t="shared" si="46"/>
        <v>48490.011918951132</v>
      </c>
    </row>
    <row r="154" spans="1:15">
      <c r="A154" s="164" t="s">
        <v>123</v>
      </c>
      <c r="B154" s="227"/>
      <c r="C154" s="227"/>
      <c r="D154" s="227"/>
      <c r="E154" s="227"/>
      <c r="F154" s="227"/>
      <c r="G154" s="227"/>
      <c r="H154" s="227"/>
      <c r="I154" s="165"/>
      <c r="J154" s="15">
        <f>(J4+J5+J11)/G11*G8</f>
        <v>109191.13230035757</v>
      </c>
      <c r="K154" s="15">
        <f>N128+N129+N135+N136</f>
        <v>0</v>
      </c>
      <c r="L154" s="15">
        <f>R128+R129+R141+R135</f>
        <v>0</v>
      </c>
      <c r="M154" s="15">
        <f>V128+V129+V135+V136</f>
        <v>0</v>
      </c>
      <c r="N154" s="15">
        <f>Z128+Z129+Z135+Z136</f>
        <v>0</v>
      </c>
      <c r="O154" s="76">
        <f t="shared" si="46"/>
        <v>109191.13230035757</v>
      </c>
    </row>
    <row r="155" spans="1:15">
      <c r="A155" s="263" t="s">
        <v>87</v>
      </c>
      <c r="B155" s="264"/>
      <c r="C155" s="264"/>
      <c r="D155" s="264"/>
      <c r="E155" s="264"/>
      <c r="F155" s="264"/>
      <c r="G155" s="264"/>
      <c r="H155" s="264"/>
      <c r="I155" s="265"/>
      <c r="J155" s="76">
        <f>J156+J157+J161+J162+J163+J165</f>
        <v>335056.4481525626</v>
      </c>
      <c r="K155" s="76">
        <f>K156+K157+K161+K162+K163+K165</f>
        <v>0</v>
      </c>
      <c r="L155" s="76">
        <f t="shared" ref="L155:N155" si="48">L156+L157+L161+L162+L163+L165</f>
        <v>0</v>
      </c>
      <c r="M155" s="76">
        <f t="shared" si="48"/>
        <v>0</v>
      </c>
      <c r="N155" s="76">
        <f t="shared" si="48"/>
        <v>0</v>
      </c>
      <c r="O155" s="76">
        <f>SUM(J155:N155)</f>
        <v>335056.4481525626</v>
      </c>
    </row>
    <row r="156" spans="1:15">
      <c r="A156" s="233" t="s">
        <v>125</v>
      </c>
      <c r="B156" s="234"/>
      <c r="C156" s="234"/>
      <c r="D156" s="234"/>
      <c r="E156" s="234"/>
      <c r="F156" s="234"/>
      <c r="G156" s="234"/>
      <c r="H156" s="234"/>
      <c r="I156" s="235"/>
      <c r="J156" s="15"/>
      <c r="K156" s="15"/>
      <c r="L156" s="15"/>
      <c r="M156" s="15"/>
      <c r="N156" s="15"/>
      <c r="O156" s="76">
        <f t="shared" ref="O156:O166" si="49">SUM(J156:N156)</f>
        <v>0</v>
      </c>
    </row>
    <row r="157" spans="1:15">
      <c r="A157" s="164" t="s">
        <v>126</v>
      </c>
      <c r="B157" s="227"/>
      <c r="C157" s="227"/>
      <c r="D157" s="227"/>
      <c r="E157" s="227"/>
      <c r="F157" s="227"/>
      <c r="G157" s="227"/>
      <c r="H157" s="227"/>
      <c r="I157" s="165"/>
      <c r="J157" s="15">
        <f>J158+J159+J160</f>
        <v>127713.02502979738</v>
      </c>
      <c r="K157" s="15">
        <f t="shared" ref="K157:N157" si="50">K158+K159+K160</f>
        <v>0</v>
      </c>
      <c r="L157" s="15">
        <f t="shared" si="50"/>
        <v>0</v>
      </c>
      <c r="M157" s="15">
        <f t="shared" si="50"/>
        <v>0</v>
      </c>
      <c r="N157" s="15">
        <f t="shared" si="50"/>
        <v>0</v>
      </c>
      <c r="O157" s="76">
        <f t="shared" si="49"/>
        <v>127713.02502979738</v>
      </c>
    </row>
    <row r="158" spans="1:15">
      <c r="A158" s="164" t="s">
        <v>82</v>
      </c>
      <c r="B158" s="227"/>
      <c r="C158" s="227"/>
      <c r="D158" s="227"/>
      <c r="E158" s="227"/>
      <c r="F158" s="227"/>
      <c r="G158" s="227"/>
      <c r="H158" s="227"/>
      <c r="I158" s="165"/>
      <c r="J158" s="15">
        <f>(757884*90%)/G11*G8</f>
        <v>24389.592371871277</v>
      </c>
      <c r="K158" s="15"/>
      <c r="L158" s="15"/>
      <c r="M158" s="15"/>
      <c r="N158" s="15"/>
      <c r="O158" s="76">
        <f t="shared" si="49"/>
        <v>24389.592371871277</v>
      </c>
    </row>
    <row r="159" spans="1:15">
      <c r="A159" s="164" t="s">
        <v>83</v>
      </c>
      <c r="B159" s="227"/>
      <c r="C159" s="227"/>
      <c r="D159" s="227"/>
      <c r="E159" s="227"/>
      <c r="F159" s="227"/>
      <c r="G159" s="227"/>
      <c r="H159" s="227"/>
      <c r="I159" s="165"/>
      <c r="J159" s="15">
        <f>(4407818*50%)/G11*G8</f>
        <v>78804.851013110849</v>
      </c>
      <c r="K159" s="15"/>
      <c r="L159" s="15"/>
      <c r="M159" s="15"/>
      <c r="N159" s="15"/>
      <c r="O159" s="76">
        <f t="shared" si="49"/>
        <v>78804.851013110849</v>
      </c>
    </row>
    <row r="160" spans="1:15">
      <c r="A160" s="164" t="s">
        <v>84</v>
      </c>
      <c r="B160" s="227"/>
      <c r="C160" s="227"/>
      <c r="D160" s="227"/>
      <c r="E160" s="227"/>
      <c r="F160" s="227"/>
      <c r="G160" s="227"/>
      <c r="H160" s="227"/>
      <c r="I160" s="165"/>
      <c r="J160" s="15">
        <f>(287848+397855)/G11*G8</f>
        <v>24518.581644815258</v>
      </c>
      <c r="K160" s="15"/>
      <c r="L160" s="15"/>
      <c r="M160" s="15"/>
      <c r="N160" s="15"/>
      <c r="O160" s="76">
        <f t="shared" si="49"/>
        <v>24518.581644815258</v>
      </c>
    </row>
    <row r="161" spans="1:15">
      <c r="A161" s="164" t="s">
        <v>127</v>
      </c>
      <c r="B161" s="227"/>
      <c r="C161" s="227"/>
      <c r="D161" s="227"/>
      <c r="E161" s="227"/>
      <c r="F161" s="227"/>
      <c r="G161" s="227"/>
      <c r="H161" s="227"/>
      <c r="I161" s="165"/>
      <c r="J161" s="15"/>
      <c r="K161" s="15"/>
      <c r="L161" s="15"/>
      <c r="M161" s="15"/>
      <c r="N161" s="15"/>
      <c r="O161" s="76">
        <f t="shared" si="49"/>
        <v>0</v>
      </c>
    </row>
    <row r="162" spans="1:15">
      <c r="A162" s="164" t="s">
        <v>128</v>
      </c>
      <c r="B162" s="227"/>
      <c r="C162" s="227"/>
      <c r="D162" s="227"/>
      <c r="E162" s="227"/>
      <c r="F162" s="227"/>
      <c r="G162" s="227"/>
      <c r="H162" s="227"/>
      <c r="I162" s="165"/>
      <c r="J162" s="15"/>
      <c r="K162" s="15"/>
      <c r="L162" s="15"/>
      <c r="M162" s="15"/>
      <c r="N162" s="15"/>
      <c r="O162" s="76">
        <f t="shared" si="49"/>
        <v>0</v>
      </c>
    </row>
    <row r="163" spans="1:15">
      <c r="A163" s="228" t="s">
        <v>129</v>
      </c>
      <c r="B163" s="163"/>
      <c r="C163" s="163"/>
      <c r="D163" s="163"/>
      <c r="E163" s="163"/>
      <c r="F163" s="163"/>
      <c r="G163" s="163"/>
      <c r="H163" s="163"/>
      <c r="I163" s="229"/>
      <c r="J163" s="15">
        <f>J164</f>
        <v>20821.537544696068</v>
      </c>
      <c r="K163" s="15">
        <f t="shared" ref="K163:N163" si="51">K164</f>
        <v>0</v>
      </c>
      <c r="L163" s="15">
        <f t="shared" si="51"/>
        <v>0</v>
      </c>
      <c r="M163" s="15">
        <f t="shared" si="51"/>
        <v>0</v>
      </c>
      <c r="N163" s="15">
        <f t="shared" si="51"/>
        <v>0</v>
      </c>
      <c r="O163" s="76">
        <f t="shared" si="49"/>
        <v>20821.537544696068</v>
      </c>
    </row>
    <row r="164" spans="1:15">
      <c r="A164" s="233" t="s">
        <v>132</v>
      </c>
      <c r="B164" s="234"/>
      <c r="C164" s="234"/>
      <c r="D164" s="234"/>
      <c r="E164" s="234"/>
      <c r="F164" s="234"/>
      <c r="G164" s="234"/>
      <c r="H164" s="234"/>
      <c r="I164" s="235"/>
      <c r="J164" s="15">
        <f>(150192+206166+37607+42355+42438+3423+100128)/G11*G8</f>
        <v>20821.537544696068</v>
      </c>
      <c r="K164" s="15"/>
      <c r="L164" s="15"/>
      <c r="M164" s="15"/>
      <c r="N164" s="15"/>
      <c r="O164" s="76">
        <f t="shared" si="49"/>
        <v>20821.537544696068</v>
      </c>
    </row>
    <row r="165" spans="1:15">
      <c r="A165" s="164" t="s">
        <v>131</v>
      </c>
      <c r="B165" s="227"/>
      <c r="C165" s="227"/>
      <c r="D165" s="227"/>
      <c r="E165" s="227"/>
      <c r="F165" s="227"/>
      <c r="G165" s="227"/>
      <c r="H165" s="227"/>
      <c r="I165" s="165"/>
      <c r="J165" s="15">
        <f>J166</f>
        <v>186521.88557806914</v>
      </c>
      <c r="K165" s="15">
        <f t="shared" ref="K165:N165" si="52">K166</f>
        <v>0</v>
      </c>
      <c r="L165" s="15">
        <f t="shared" si="52"/>
        <v>0</v>
      </c>
      <c r="M165" s="15">
        <f t="shared" si="52"/>
        <v>0</v>
      </c>
      <c r="N165" s="15">
        <f t="shared" si="52"/>
        <v>0</v>
      </c>
      <c r="O165" s="76">
        <f t="shared" si="49"/>
        <v>186521.88557806914</v>
      </c>
    </row>
    <row r="166" spans="1:15">
      <c r="A166" s="233" t="s">
        <v>130</v>
      </c>
      <c r="B166" s="234"/>
      <c r="C166" s="234"/>
      <c r="D166" s="234"/>
      <c r="E166" s="234"/>
      <c r="F166" s="234"/>
      <c r="G166" s="234"/>
      <c r="H166" s="234"/>
      <c r="I166" s="235"/>
      <c r="J166" s="15">
        <f>(J7+J8+J16+J17)/G11*G8-J157-J163</f>
        <v>186521.88557806914</v>
      </c>
      <c r="K166" s="15"/>
      <c r="L166" s="15"/>
      <c r="M166" s="15"/>
      <c r="N166" s="15"/>
      <c r="O166" s="76">
        <f t="shared" si="49"/>
        <v>186521.88557806914</v>
      </c>
    </row>
    <row r="167" spans="1:15">
      <c r="A167" s="260" t="s">
        <v>93</v>
      </c>
      <c r="B167" s="261"/>
      <c r="C167" s="261"/>
      <c r="D167" s="261"/>
      <c r="E167" s="261"/>
      <c r="F167" s="261"/>
      <c r="G167" s="261"/>
      <c r="H167" s="261"/>
      <c r="I167" s="262"/>
      <c r="J167" s="75">
        <f>J150+J155</f>
        <v>492737.59237187129</v>
      </c>
      <c r="K167" s="75">
        <f t="shared" ref="K167:O167" si="53">K150+K155</f>
        <v>0</v>
      </c>
      <c r="L167" s="75">
        <f t="shared" si="53"/>
        <v>0</v>
      </c>
      <c r="M167" s="75">
        <f t="shared" si="53"/>
        <v>0</v>
      </c>
      <c r="N167" s="75">
        <f t="shared" si="53"/>
        <v>0</v>
      </c>
      <c r="O167" s="75">
        <f t="shared" si="53"/>
        <v>492737.59237187129</v>
      </c>
    </row>
    <row r="168" spans="1:15">
      <c r="A168" t="s">
        <v>61</v>
      </c>
      <c r="J168" s="8">
        <f>J167/G8</f>
        <v>16424.586412395711</v>
      </c>
    </row>
    <row r="169" spans="1:15" ht="16.5">
      <c r="L169" s="30"/>
      <c r="M169" s="162" t="s">
        <v>180</v>
      </c>
      <c r="N169" s="30"/>
      <c r="O169" s="30"/>
    </row>
    <row r="170" spans="1:15">
      <c r="L170" s="4" t="s">
        <v>217</v>
      </c>
      <c r="M170" s="4"/>
      <c r="N170" s="30"/>
      <c r="O170" s="30"/>
    </row>
    <row r="171" spans="1:15" ht="30">
      <c r="A171" s="224" t="s">
        <v>152</v>
      </c>
      <c r="B171" s="225"/>
      <c r="C171" s="225"/>
      <c r="D171" s="225"/>
      <c r="E171" s="225"/>
      <c r="F171" s="225"/>
      <c r="G171" s="225"/>
      <c r="H171" s="225"/>
      <c r="I171" s="226"/>
      <c r="J171" s="17" t="s">
        <v>94</v>
      </c>
      <c r="K171" s="17" t="s">
        <v>95</v>
      </c>
      <c r="L171" s="16" t="s">
        <v>96</v>
      </c>
      <c r="M171" s="17" t="s">
        <v>97</v>
      </c>
      <c r="N171" s="17" t="s">
        <v>98</v>
      </c>
      <c r="O171" s="17" t="s">
        <v>93</v>
      </c>
    </row>
    <row r="172" spans="1:15">
      <c r="A172" s="271" t="s">
        <v>143</v>
      </c>
      <c r="B172" s="272"/>
      <c r="C172" s="272"/>
      <c r="D172" s="272"/>
      <c r="E172" s="272"/>
      <c r="F172" s="272"/>
      <c r="G172" s="272"/>
      <c r="H172" s="272"/>
      <c r="I172" s="272"/>
      <c r="J172" s="272"/>
      <c r="K172" s="272"/>
      <c r="L172" s="272"/>
      <c r="M172" s="272"/>
      <c r="N172" s="272"/>
      <c r="O172" s="273"/>
    </row>
    <row r="173" spans="1:15">
      <c r="A173" s="266" t="s">
        <v>80</v>
      </c>
      <c r="B173" s="267"/>
      <c r="C173" s="267"/>
      <c r="D173" s="267"/>
      <c r="E173" s="267"/>
      <c r="F173" s="267"/>
      <c r="G173" s="267"/>
      <c r="H173" s="267"/>
      <c r="I173" s="268"/>
      <c r="J173" s="76">
        <f>J174+J175+J177</f>
        <v>347300</v>
      </c>
      <c r="K173" s="76">
        <f>K174+K175+K177</f>
        <v>250200</v>
      </c>
      <c r="L173" s="76">
        <f t="shared" ref="L173:N173" si="54">L174+L175+L177</f>
        <v>400700</v>
      </c>
      <c r="M173" s="76">
        <f t="shared" si="54"/>
        <v>0</v>
      </c>
      <c r="N173" s="76">
        <f t="shared" si="54"/>
        <v>107300</v>
      </c>
      <c r="O173" s="76">
        <f>SUM(J173:N173)</f>
        <v>1105500</v>
      </c>
    </row>
    <row r="174" spans="1:15">
      <c r="A174" s="248" t="s">
        <v>120</v>
      </c>
      <c r="B174" s="269"/>
      <c r="C174" s="269"/>
      <c r="D174" s="269"/>
      <c r="E174" s="269"/>
      <c r="F174" s="269"/>
      <c r="G174" s="269"/>
      <c r="H174" s="269"/>
      <c r="I174" s="270"/>
      <c r="J174" s="2"/>
      <c r="K174" s="2"/>
      <c r="L174" s="2"/>
      <c r="M174" s="2"/>
      <c r="N174" s="2"/>
      <c r="O174" s="2"/>
    </row>
    <row r="175" spans="1:15">
      <c r="A175" s="164" t="s">
        <v>121</v>
      </c>
      <c r="B175" s="227"/>
      <c r="C175" s="227"/>
      <c r="D175" s="227"/>
      <c r="E175" s="227"/>
      <c r="F175" s="227"/>
      <c r="G175" s="227"/>
      <c r="H175" s="227"/>
      <c r="I175" s="165"/>
      <c r="J175" s="15">
        <f>J176</f>
        <v>0</v>
      </c>
      <c r="K175" s="15">
        <f t="shared" ref="K175:O175" si="55">K176</f>
        <v>0</v>
      </c>
      <c r="L175" s="15">
        <f t="shared" si="55"/>
        <v>0</v>
      </c>
      <c r="M175" s="15">
        <f t="shared" si="55"/>
        <v>0</v>
      </c>
      <c r="N175" s="15">
        <f t="shared" si="55"/>
        <v>0</v>
      </c>
      <c r="O175" s="15">
        <f t="shared" si="55"/>
        <v>0</v>
      </c>
    </row>
    <row r="176" spans="1:15" ht="31.5" customHeight="1">
      <c r="A176" s="233" t="s">
        <v>122</v>
      </c>
      <c r="B176" s="234"/>
      <c r="C176" s="234"/>
      <c r="D176" s="234"/>
      <c r="E176" s="234"/>
      <c r="F176" s="234"/>
      <c r="G176" s="234"/>
      <c r="H176" s="234"/>
      <c r="I176" s="235"/>
      <c r="J176" s="15"/>
      <c r="K176" s="15"/>
      <c r="L176" s="15"/>
      <c r="M176" s="15"/>
      <c r="N176" s="15"/>
      <c r="O176" s="15"/>
    </row>
    <row r="177" spans="1:15">
      <c r="A177" s="164" t="s">
        <v>123</v>
      </c>
      <c r="B177" s="227"/>
      <c r="C177" s="227"/>
      <c r="D177" s="227"/>
      <c r="E177" s="227"/>
      <c r="F177" s="227"/>
      <c r="G177" s="227"/>
      <c r="H177" s="227"/>
      <c r="I177" s="165"/>
      <c r="J177" s="15">
        <f>J18</f>
        <v>347300</v>
      </c>
      <c r="K177" s="15">
        <f>N18</f>
        <v>250200</v>
      </c>
      <c r="L177" s="78">
        <f>R18</f>
        <v>400700</v>
      </c>
      <c r="M177" s="15">
        <f>V153+V154+V160+V161</f>
        <v>0</v>
      </c>
      <c r="N177" s="21">
        <f>Z18</f>
        <v>107300</v>
      </c>
      <c r="O177" s="15">
        <f>SUM(J177:N177)</f>
        <v>1105500</v>
      </c>
    </row>
    <row r="178" spans="1:15">
      <c r="A178" s="263" t="s">
        <v>87</v>
      </c>
      <c r="B178" s="264"/>
      <c r="C178" s="264"/>
      <c r="D178" s="264"/>
      <c r="E178" s="264"/>
      <c r="F178" s="264"/>
      <c r="G178" s="264"/>
      <c r="H178" s="264"/>
      <c r="I178" s="265"/>
      <c r="J178" s="76">
        <f>J179+J180+J184+J185+J186+J188</f>
        <v>0</v>
      </c>
      <c r="K178" s="76">
        <f t="shared" ref="K178:N178" si="56">SUM(K179:K188)</f>
        <v>0</v>
      </c>
      <c r="L178" s="76">
        <f t="shared" si="56"/>
        <v>0</v>
      </c>
      <c r="M178" s="76">
        <f t="shared" si="56"/>
        <v>0</v>
      </c>
      <c r="N178" s="76">
        <f t="shared" si="56"/>
        <v>0</v>
      </c>
      <c r="O178" s="76">
        <f>SUM(J178:N178)</f>
        <v>0</v>
      </c>
    </row>
    <row r="179" spans="1:15">
      <c r="A179" s="233" t="s">
        <v>125</v>
      </c>
      <c r="B179" s="234"/>
      <c r="C179" s="234"/>
      <c r="D179" s="234"/>
      <c r="E179" s="234"/>
      <c r="F179" s="234"/>
      <c r="G179" s="234"/>
      <c r="H179" s="234"/>
      <c r="I179" s="235"/>
      <c r="J179" s="15"/>
      <c r="K179" s="15"/>
      <c r="L179" s="15"/>
      <c r="M179" s="15"/>
      <c r="N179" s="15"/>
      <c r="O179" s="76">
        <f t="shared" ref="O179:O189" si="57">SUM(J179:N179)</f>
        <v>0</v>
      </c>
    </row>
    <row r="180" spans="1:15">
      <c r="A180" s="164" t="s">
        <v>126</v>
      </c>
      <c r="B180" s="227"/>
      <c r="C180" s="227"/>
      <c r="D180" s="227"/>
      <c r="E180" s="227"/>
      <c r="F180" s="227"/>
      <c r="G180" s="227"/>
      <c r="H180" s="227"/>
      <c r="I180" s="165"/>
      <c r="J180" s="15">
        <f>J181+J182+J183</f>
        <v>0</v>
      </c>
      <c r="K180" s="15">
        <f t="shared" ref="K180:N180" si="58">K181+K182+K183</f>
        <v>0</v>
      </c>
      <c r="L180" s="15">
        <f t="shared" si="58"/>
        <v>0</v>
      </c>
      <c r="M180" s="15">
        <f t="shared" si="58"/>
        <v>0</v>
      </c>
      <c r="N180" s="15">
        <f t="shared" si="58"/>
        <v>0</v>
      </c>
      <c r="O180" s="76">
        <f t="shared" si="57"/>
        <v>0</v>
      </c>
    </row>
    <row r="181" spans="1:15">
      <c r="A181" s="164" t="s">
        <v>82</v>
      </c>
      <c r="B181" s="227"/>
      <c r="C181" s="227"/>
      <c r="D181" s="227"/>
      <c r="E181" s="227"/>
      <c r="F181" s="227"/>
      <c r="G181" s="227"/>
      <c r="H181" s="227"/>
      <c r="I181" s="165"/>
      <c r="J181" s="15"/>
      <c r="K181" s="15"/>
      <c r="L181" s="15"/>
      <c r="M181" s="15"/>
      <c r="N181" s="15"/>
      <c r="O181" s="76">
        <f t="shared" si="57"/>
        <v>0</v>
      </c>
    </row>
    <row r="182" spans="1:15">
      <c r="A182" s="164" t="s">
        <v>83</v>
      </c>
      <c r="B182" s="227"/>
      <c r="C182" s="227"/>
      <c r="D182" s="227"/>
      <c r="E182" s="227"/>
      <c r="F182" s="227"/>
      <c r="G182" s="227"/>
      <c r="H182" s="227"/>
      <c r="I182" s="165"/>
      <c r="J182" s="15"/>
      <c r="K182" s="15"/>
      <c r="L182" s="15"/>
      <c r="M182" s="15"/>
      <c r="N182" s="15"/>
      <c r="O182" s="76">
        <f t="shared" si="57"/>
        <v>0</v>
      </c>
    </row>
    <row r="183" spans="1:15">
      <c r="A183" s="164" t="s">
        <v>84</v>
      </c>
      <c r="B183" s="227"/>
      <c r="C183" s="227"/>
      <c r="D183" s="227"/>
      <c r="E183" s="227"/>
      <c r="F183" s="227"/>
      <c r="G183" s="227"/>
      <c r="H183" s="227"/>
      <c r="I183" s="165"/>
      <c r="J183" s="15"/>
      <c r="K183" s="15"/>
      <c r="L183" s="15"/>
      <c r="M183" s="15"/>
      <c r="N183" s="15"/>
      <c r="O183" s="76">
        <f t="shared" si="57"/>
        <v>0</v>
      </c>
    </row>
    <row r="184" spans="1:15">
      <c r="A184" s="164" t="s">
        <v>127</v>
      </c>
      <c r="B184" s="227"/>
      <c r="C184" s="227"/>
      <c r="D184" s="227"/>
      <c r="E184" s="227"/>
      <c r="F184" s="227"/>
      <c r="G184" s="227"/>
      <c r="H184" s="227"/>
      <c r="I184" s="165"/>
      <c r="J184" s="15"/>
      <c r="K184" s="15"/>
      <c r="L184" s="15"/>
      <c r="M184" s="15"/>
      <c r="N184" s="15"/>
      <c r="O184" s="76">
        <f t="shared" si="57"/>
        <v>0</v>
      </c>
    </row>
    <row r="185" spans="1:15">
      <c r="A185" s="164" t="s">
        <v>128</v>
      </c>
      <c r="B185" s="227"/>
      <c r="C185" s="227"/>
      <c r="D185" s="227"/>
      <c r="E185" s="227"/>
      <c r="F185" s="227"/>
      <c r="G185" s="227"/>
      <c r="H185" s="227"/>
      <c r="I185" s="165"/>
      <c r="J185" s="15"/>
      <c r="K185" s="15"/>
      <c r="L185" s="15"/>
      <c r="M185" s="15"/>
      <c r="N185" s="15"/>
      <c r="O185" s="76">
        <f t="shared" si="57"/>
        <v>0</v>
      </c>
    </row>
    <row r="186" spans="1:15">
      <c r="A186" s="228" t="s">
        <v>129</v>
      </c>
      <c r="B186" s="163"/>
      <c r="C186" s="163"/>
      <c r="D186" s="163"/>
      <c r="E186" s="163"/>
      <c r="F186" s="163"/>
      <c r="G186" s="163"/>
      <c r="H186" s="163"/>
      <c r="I186" s="229"/>
      <c r="J186" s="15">
        <f>J187</f>
        <v>0</v>
      </c>
      <c r="K186" s="15">
        <f t="shared" ref="K186:N186" si="59">K187</f>
        <v>0</v>
      </c>
      <c r="L186" s="15">
        <f t="shared" si="59"/>
        <v>0</v>
      </c>
      <c r="M186" s="15">
        <f t="shared" si="59"/>
        <v>0</v>
      </c>
      <c r="N186" s="15">
        <f t="shared" si="59"/>
        <v>0</v>
      </c>
      <c r="O186" s="76">
        <f t="shared" si="57"/>
        <v>0</v>
      </c>
    </row>
    <row r="187" spans="1:15" ht="28.5" customHeight="1">
      <c r="A187" s="233" t="s">
        <v>132</v>
      </c>
      <c r="B187" s="234"/>
      <c r="C187" s="234"/>
      <c r="D187" s="234"/>
      <c r="E187" s="234"/>
      <c r="F187" s="234"/>
      <c r="G187" s="234"/>
      <c r="H187" s="234"/>
      <c r="I187" s="235"/>
      <c r="J187" s="15"/>
      <c r="K187" s="15"/>
      <c r="L187" s="15"/>
      <c r="M187" s="15"/>
      <c r="N187" s="15"/>
      <c r="O187" s="76">
        <f t="shared" si="57"/>
        <v>0</v>
      </c>
    </row>
    <row r="188" spans="1:15">
      <c r="A188" s="164" t="s">
        <v>131</v>
      </c>
      <c r="B188" s="227"/>
      <c r="C188" s="227"/>
      <c r="D188" s="227"/>
      <c r="E188" s="227"/>
      <c r="F188" s="227"/>
      <c r="G188" s="227"/>
      <c r="H188" s="227"/>
      <c r="I188" s="165"/>
      <c r="J188" s="15">
        <f>J189</f>
        <v>0</v>
      </c>
      <c r="K188" s="15">
        <f t="shared" ref="K188:N188" si="60">K189</f>
        <v>0</v>
      </c>
      <c r="L188" s="15">
        <f t="shared" si="60"/>
        <v>0</v>
      </c>
      <c r="M188" s="15">
        <f t="shared" si="60"/>
        <v>0</v>
      </c>
      <c r="N188" s="15">
        <f t="shared" si="60"/>
        <v>0</v>
      </c>
      <c r="O188" s="76">
        <f t="shared" si="57"/>
        <v>0</v>
      </c>
    </row>
    <row r="189" spans="1:15" ht="110.25" customHeight="1">
      <c r="A189" s="233" t="s">
        <v>130</v>
      </c>
      <c r="B189" s="234"/>
      <c r="C189" s="234"/>
      <c r="D189" s="234"/>
      <c r="E189" s="234"/>
      <c r="F189" s="234"/>
      <c r="G189" s="234"/>
      <c r="H189" s="234"/>
      <c r="I189" s="235"/>
      <c r="J189" s="15"/>
      <c r="K189" s="15"/>
      <c r="L189" s="15"/>
      <c r="M189" s="15"/>
      <c r="N189" s="15"/>
      <c r="O189" s="76">
        <f t="shared" si="57"/>
        <v>0</v>
      </c>
    </row>
    <row r="190" spans="1:15">
      <c r="A190" s="260" t="s">
        <v>93</v>
      </c>
      <c r="B190" s="261"/>
      <c r="C190" s="261"/>
      <c r="D190" s="261"/>
      <c r="E190" s="261"/>
      <c r="F190" s="261"/>
      <c r="G190" s="261"/>
      <c r="H190" s="261"/>
      <c r="I190" s="262"/>
      <c r="J190" s="75">
        <f>J173+J178</f>
        <v>347300</v>
      </c>
      <c r="K190" s="75">
        <f t="shared" ref="K190:O190" si="61">K173+K178</f>
        <v>250200</v>
      </c>
      <c r="L190" s="75">
        <f t="shared" si="61"/>
        <v>400700</v>
      </c>
      <c r="M190" s="75">
        <f t="shared" si="61"/>
        <v>0</v>
      </c>
      <c r="N190" s="75">
        <f t="shared" si="61"/>
        <v>107300</v>
      </c>
      <c r="O190" s="75">
        <f t="shared" si="61"/>
        <v>1105500</v>
      </c>
    </row>
    <row r="191" spans="1:15">
      <c r="A191" t="s">
        <v>61</v>
      </c>
    </row>
    <row r="192" spans="1:15" ht="16.5">
      <c r="L192" s="30"/>
      <c r="M192" s="162" t="s">
        <v>178</v>
      </c>
      <c r="N192" s="30"/>
      <c r="O192" s="30"/>
    </row>
    <row r="193" spans="1:16">
      <c r="L193" s="4" t="s">
        <v>217</v>
      </c>
      <c r="M193" s="4"/>
      <c r="N193" s="30"/>
      <c r="O193" s="30"/>
    </row>
    <row r="194" spans="1:16" ht="30">
      <c r="A194" s="224" t="s">
        <v>152</v>
      </c>
      <c r="B194" s="225"/>
      <c r="C194" s="225"/>
      <c r="D194" s="225"/>
      <c r="E194" s="225"/>
      <c r="F194" s="225"/>
      <c r="G194" s="225"/>
      <c r="H194" s="225"/>
      <c r="I194" s="226"/>
      <c r="J194" s="17" t="s">
        <v>94</v>
      </c>
      <c r="K194" s="17" t="s">
        <v>95</v>
      </c>
      <c r="L194" s="16" t="s">
        <v>96</v>
      </c>
      <c r="M194" s="17" t="s">
        <v>97</v>
      </c>
      <c r="N194" s="17" t="s">
        <v>98</v>
      </c>
      <c r="O194" s="17" t="s">
        <v>93</v>
      </c>
    </row>
    <row r="195" spans="1:16">
      <c r="A195" s="266" t="s">
        <v>144</v>
      </c>
      <c r="B195" s="267"/>
      <c r="C195" s="267"/>
      <c r="D195" s="267"/>
      <c r="E195" s="267"/>
      <c r="F195" s="267"/>
      <c r="G195" s="267"/>
      <c r="H195" s="267"/>
      <c r="I195" s="267"/>
      <c r="J195" s="267"/>
      <c r="K195" s="267"/>
      <c r="L195" s="267"/>
      <c r="M195" s="267"/>
      <c r="N195" s="267"/>
      <c r="O195" s="268"/>
    </row>
    <row r="196" spans="1:16">
      <c r="A196" s="266" t="s">
        <v>80</v>
      </c>
      <c r="B196" s="267"/>
      <c r="C196" s="267"/>
      <c r="D196" s="267"/>
      <c r="E196" s="267"/>
      <c r="F196" s="267"/>
      <c r="G196" s="267"/>
      <c r="H196" s="267"/>
      <c r="I196" s="268"/>
      <c r="J196" s="76">
        <f>J197+J198+J200</f>
        <v>3818479.3</v>
      </c>
      <c r="K196" s="76">
        <f>K197+K198+K200</f>
        <v>323560</v>
      </c>
      <c r="L196" s="76">
        <f t="shared" ref="L196:N196" si="62">L197+L198+L200</f>
        <v>411804</v>
      </c>
      <c r="M196" s="76">
        <f t="shared" si="62"/>
        <v>0</v>
      </c>
      <c r="N196" s="76">
        <f t="shared" si="62"/>
        <v>202192</v>
      </c>
      <c r="O196" s="76">
        <f>SUM(J196:N196)</f>
        <v>4756035.3</v>
      </c>
      <c r="P196" s="11"/>
    </row>
    <row r="197" spans="1:16">
      <c r="A197" s="248" t="s">
        <v>120</v>
      </c>
      <c r="B197" s="269"/>
      <c r="C197" s="269"/>
      <c r="D197" s="269"/>
      <c r="E197" s="269"/>
      <c r="F197" s="269"/>
      <c r="G197" s="269"/>
      <c r="H197" s="269"/>
      <c r="I197" s="270"/>
      <c r="J197" s="2">
        <f>(1460484+441065)*70%</f>
        <v>1331084.2999999998</v>
      </c>
      <c r="K197" s="2">
        <f>323560</f>
        <v>323560</v>
      </c>
      <c r="L197" s="2">
        <f>316284+95520</f>
        <v>411804</v>
      </c>
      <c r="M197" s="2"/>
      <c r="N197" s="2">
        <f>132654+40062</f>
        <v>172716</v>
      </c>
      <c r="O197" s="76">
        <f t="shared" ref="O197:O211" si="63">SUM(J197:N197)</f>
        <v>2239164.2999999998</v>
      </c>
      <c r="P197" s="11"/>
    </row>
    <row r="198" spans="1:16">
      <c r="A198" s="164" t="s">
        <v>121</v>
      </c>
      <c r="B198" s="227"/>
      <c r="C198" s="227"/>
      <c r="D198" s="227"/>
      <c r="E198" s="227"/>
      <c r="F198" s="227"/>
      <c r="G198" s="227"/>
      <c r="H198" s="227"/>
      <c r="I198" s="165"/>
      <c r="J198" s="15">
        <f>J199</f>
        <v>2487395</v>
      </c>
      <c r="K198" s="2"/>
      <c r="L198" s="15">
        <f t="shared" ref="L198:M198" si="64">L199</f>
        <v>0</v>
      </c>
      <c r="M198" s="15">
        <f t="shared" si="64"/>
        <v>0</v>
      </c>
      <c r="N198" s="15">
        <v>29476</v>
      </c>
      <c r="O198" s="76">
        <f t="shared" si="63"/>
        <v>2516871</v>
      </c>
    </row>
    <row r="199" spans="1:16">
      <c r="A199" s="233" t="s">
        <v>122</v>
      </c>
      <c r="B199" s="234"/>
      <c r="C199" s="234"/>
      <c r="D199" s="234"/>
      <c r="E199" s="234"/>
      <c r="F199" s="234"/>
      <c r="G199" s="234"/>
      <c r="H199" s="234"/>
      <c r="I199" s="235"/>
      <c r="J199" s="15">
        <f>2216804+237000+33591</f>
        <v>2487395</v>
      </c>
      <c r="K199" s="15"/>
      <c r="L199" s="15"/>
      <c r="M199" s="15"/>
      <c r="N199" s="15"/>
      <c r="O199" s="76">
        <f t="shared" si="63"/>
        <v>2487395</v>
      </c>
    </row>
    <row r="200" spans="1:16">
      <c r="A200" s="164" t="s">
        <v>123</v>
      </c>
      <c r="B200" s="227"/>
      <c r="C200" s="227"/>
      <c r="D200" s="227"/>
      <c r="E200" s="227"/>
      <c r="F200" s="227"/>
      <c r="G200" s="227"/>
      <c r="H200" s="227"/>
      <c r="I200" s="165"/>
      <c r="J200" s="15"/>
      <c r="K200" s="15"/>
      <c r="L200" s="15">
        <f>R176+R177+R189+R183</f>
        <v>0</v>
      </c>
      <c r="M200" s="15">
        <f>V176+V177+V183+V184</f>
        <v>0</v>
      </c>
      <c r="N200" s="15">
        <f>Z176+Z177+Z183+Z184</f>
        <v>0</v>
      </c>
      <c r="O200" s="76">
        <f t="shared" si="63"/>
        <v>0</v>
      </c>
    </row>
    <row r="201" spans="1:16">
      <c r="A201" s="263" t="s">
        <v>87</v>
      </c>
      <c r="B201" s="264"/>
      <c r="C201" s="264"/>
      <c r="D201" s="264"/>
      <c r="E201" s="264"/>
      <c r="F201" s="264"/>
      <c r="G201" s="264"/>
      <c r="H201" s="264"/>
      <c r="I201" s="265"/>
      <c r="J201" s="76">
        <f>J202+J203+J207+J208+J209+J212</f>
        <v>943493.7</v>
      </c>
      <c r="K201" s="76">
        <f>K202+K203+K207+K208+K209+K212</f>
        <v>0</v>
      </c>
      <c r="L201" s="76">
        <f t="shared" ref="L201:N201" si="65">L202+L203+L207+L208+L209+L212</f>
        <v>34033</v>
      </c>
      <c r="M201" s="76">
        <f t="shared" si="65"/>
        <v>0</v>
      </c>
      <c r="N201" s="76">
        <f t="shared" si="65"/>
        <v>35215</v>
      </c>
      <c r="O201" s="76">
        <f t="shared" si="63"/>
        <v>1012741.7</v>
      </c>
    </row>
    <row r="202" spans="1:16">
      <c r="A202" s="233" t="s">
        <v>125</v>
      </c>
      <c r="B202" s="234"/>
      <c r="C202" s="234"/>
      <c r="D202" s="234"/>
      <c r="E202" s="234"/>
      <c r="F202" s="234"/>
      <c r="G202" s="234"/>
      <c r="H202" s="234"/>
      <c r="I202" s="235"/>
      <c r="J202" s="15">
        <f>(1460484+441065)*30%</f>
        <v>570464.69999999995</v>
      </c>
      <c r="K202" s="15"/>
      <c r="L202" s="15"/>
      <c r="M202" s="15"/>
      <c r="N202" s="15"/>
      <c r="O202" s="76">
        <f t="shared" si="63"/>
        <v>570464.69999999995</v>
      </c>
    </row>
    <row r="203" spans="1:16">
      <c r="A203" s="164" t="s">
        <v>126</v>
      </c>
      <c r="B203" s="227"/>
      <c r="C203" s="227"/>
      <c r="D203" s="227"/>
      <c r="E203" s="227"/>
      <c r="F203" s="227"/>
      <c r="G203" s="227"/>
      <c r="H203" s="227"/>
      <c r="I203" s="165"/>
      <c r="J203" s="15">
        <f>J204+J205+J206</f>
        <v>16170</v>
      </c>
      <c r="K203" s="15">
        <f>K204+K205+K206</f>
        <v>0</v>
      </c>
      <c r="L203" s="15">
        <f t="shared" ref="L203:N203" si="66">L204+L205+L206</f>
        <v>6860</v>
      </c>
      <c r="M203" s="15">
        <f t="shared" si="66"/>
        <v>0</v>
      </c>
      <c r="N203" s="15">
        <f t="shared" si="66"/>
        <v>1951</v>
      </c>
      <c r="O203" s="76">
        <f t="shared" si="63"/>
        <v>24981</v>
      </c>
    </row>
    <row r="204" spans="1:16">
      <c r="A204" s="164" t="s">
        <v>82</v>
      </c>
      <c r="B204" s="227"/>
      <c r="C204" s="227"/>
      <c r="D204" s="227"/>
      <c r="E204" s="227"/>
      <c r="F204" s="227"/>
      <c r="G204" s="227"/>
      <c r="H204" s="227"/>
      <c r="I204" s="165"/>
      <c r="J204" s="15">
        <v>16170</v>
      </c>
      <c r="K204" s="15"/>
      <c r="L204" s="15">
        <v>6860</v>
      </c>
      <c r="M204" s="15"/>
      <c r="N204" s="15">
        <v>1951</v>
      </c>
      <c r="O204" s="76">
        <f t="shared" si="63"/>
        <v>24981</v>
      </c>
    </row>
    <row r="205" spans="1:16">
      <c r="A205" s="164" t="s">
        <v>83</v>
      </c>
      <c r="B205" s="227"/>
      <c r="C205" s="227"/>
      <c r="D205" s="227"/>
      <c r="E205" s="227"/>
      <c r="F205" s="227"/>
      <c r="G205" s="227"/>
      <c r="H205" s="227"/>
      <c r="I205" s="165"/>
      <c r="J205" s="15"/>
      <c r="K205" s="15"/>
      <c r="L205" s="15"/>
      <c r="M205" s="15"/>
      <c r="N205" s="15"/>
      <c r="O205" s="76">
        <f t="shared" si="63"/>
        <v>0</v>
      </c>
    </row>
    <row r="206" spans="1:16">
      <c r="A206" s="164" t="s">
        <v>84</v>
      </c>
      <c r="B206" s="227"/>
      <c r="C206" s="227"/>
      <c r="D206" s="227"/>
      <c r="E206" s="227"/>
      <c r="F206" s="227"/>
      <c r="G206" s="227"/>
      <c r="H206" s="227"/>
      <c r="I206" s="165"/>
      <c r="J206" s="15"/>
      <c r="K206" s="15"/>
      <c r="L206" s="15"/>
      <c r="M206" s="15"/>
      <c r="N206" s="15"/>
      <c r="O206" s="76">
        <f t="shared" si="63"/>
        <v>0</v>
      </c>
      <c r="P206" s="11"/>
    </row>
    <row r="207" spans="1:16">
      <c r="A207" s="164" t="s">
        <v>127</v>
      </c>
      <c r="B207" s="227"/>
      <c r="C207" s="227"/>
      <c r="D207" s="227"/>
      <c r="E207" s="227"/>
      <c r="F207" s="227"/>
      <c r="G207" s="227"/>
      <c r="H207" s="227"/>
      <c r="I207" s="165"/>
      <c r="J207" s="15"/>
      <c r="K207" s="15"/>
      <c r="L207" s="15"/>
      <c r="M207" s="15"/>
      <c r="N207" s="15"/>
      <c r="O207" s="76">
        <f t="shared" si="63"/>
        <v>0</v>
      </c>
    </row>
    <row r="208" spans="1:16">
      <c r="A208" s="164" t="s">
        <v>128</v>
      </c>
      <c r="B208" s="227"/>
      <c r="C208" s="227"/>
      <c r="D208" s="227"/>
      <c r="E208" s="227"/>
      <c r="F208" s="227"/>
      <c r="G208" s="227"/>
      <c r="H208" s="227"/>
      <c r="I208" s="165"/>
      <c r="J208" s="15"/>
      <c r="K208" s="15"/>
      <c r="L208" s="15"/>
      <c r="M208" s="15"/>
      <c r="N208" s="15"/>
      <c r="O208" s="76">
        <f t="shared" si="63"/>
        <v>0</v>
      </c>
    </row>
    <row r="209" spans="1:15">
      <c r="A209" s="228" t="s">
        <v>129</v>
      </c>
      <c r="B209" s="163"/>
      <c r="C209" s="163"/>
      <c r="D209" s="163"/>
      <c r="E209" s="163"/>
      <c r="F209" s="163"/>
      <c r="G209" s="163"/>
      <c r="H209" s="163"/>
      <c r="I209" s="229"/>
      <c r="J209" s="15">
        <f>J210</f>
        <v>255673</v>
      </c>
      <c r="K209" s="15">
        <f>K210</f>
        <v>0</v>
      </c>
      <c r="L209" s="15">
        <f t="shared" ref="L209:N209" si="67">L210</f>
        <v>27173</v>
      </c>
      <c r="M209" s="15">
        <f t="shared" si="67"/>
        <v>0</v>
      </c>
      <c r="N209" s="15">
        <f t="shared" si="67"/>
        <v>24459</v>
      </c>
      <c r="O209" s="76">
        <f t="shared" si="63"/>
        <v>307305</v>
      </c>
    </row>
    <row r="210" spans="1:15">
      <c r="A210" s="233" t="s">
        <v>132</v>
      </c>
      <c r="B210" s="234"/>
      <c r="C210" s="234"/>
      <c r="D210" s="234"/>
      <c r="E210" s="234"/>
      <c r="F210" s="234"/>
      <c r="G210" s="234"/>
      <c r="H210" s="234"/>
      <c r="I210" s="235"/>
      <c r="J210" s="15">
        <v>255673</v>
      </c>
      <c r="K210" s="15"/>
      <c r="L210" s="15">
        <f>11340+22693-L204</f>
        <v>27173</v>
      </c>
      <c r="M210" s="15"/>
      <c r="N210" s="15">
        <v>24459</v>
      </c>
      <c r="O210" s="76">
        <f t="shared" si="63"/>
        <v>307305</v>
      </c>
    </row>
    <row r="211" spans="1:15">
      <c r="A211" s="164" t="s">
        <v>131</v>
      </c>
      <c r="B211" s="227"/>
      <c r="C211" s="227"/>
      <c r="D211" s="227"/>
      <c r="E211" s="227"/>
      <c r="F211" s="227"/>
      <c r="G211" s="227"/>
      <c r="H211" s="227"/>
      <c r="I211" s="165"/>
      <c r="J211" s="15">
        <f>J212</f>
        <v>101186</v>
      </c>
      <c r="K211" s="15">
        <f>K212</f>
        <v>0</v>
      </c>
      <c r="L211" s="11">
        <f t="shared" ref="L211:N211" si="68">L212</f>
        <v>0</v>
      </c>
      <c r="M211" s="15">
        <f t="shared" si="68"/>
        <v>0</v>
      </c>
      <c r="N211" s="15">
        <f t="shared" si="68"/>
        <v>8805</v>
      </c>
      <c r="O211" s="76">
        <f t="shared" si="63"/>
        <v>109991</v>
      </c>
    </row>
    <row r="212" spans="1:15">
      <c r="A212" s="233" t="s">
        <v>130</v>
      </c>
      <c r="B212" s="234"/>
      <c r="C212" s="234"/>
      <c r="D212" s="234"/>
      <c r="E212" s="234"/>
      <c r="F212" s="234"/>
      <c r="G212" s="234"/>
      <c r="H212" s="234"/>
      <c r="I212" s="235"/>
      <c r="J212" s="15">
        <v>101186</v>
      </c>
      <c r="K212" s="15"/>
      <c r="L212" s="15"/>
      <c r="M212" s="98"/>
      <c r="N212" s="11">
        <f>4051+24428+6736-N203-N209</f>
        <v>8805</v>
      </c>
      <c r="O212" s="76">
        <f>SUM(J212:N212)</f>
        <v>109991</v>
      </c>
    </row>
    <row r="213" spans="1:15">
      <c r="A213" s="260" t="s">
        <v>93</v>
      </c>
      <c r="B213" s="261"/>
      <c r="C213" s="261"/>
      <c r="D213" s="261"/>
      <c r="E213" s="261"/>
      <c r="F213" s="261"/>
      <c r="G213" s="261"/>
      <c r="H213" s="261"/>
      <c r="I213" s="262"/>
      <c r="J213" s="75">
        <f>J196+J201</f>
        <v>4761973</v>
      </c>
      <c r="K213" s="75">
        <f>K196+K201</f>
        <v>323560</v>
      </c>
      <c r="L213" s="75">
        <f t="shared" ref="L213:O213" si="69">L196+L201</f>
        <v>445837</v>
      </c>
      <c r="M213" s="75">
        <f t="shared" si="69"/>
        <v>0</v>
      </c>
      <c r="N213" s="75">
        <f t="shared" si="69"/>
        <v>237407</v>
      </c>
      <c r="O213" s="75">
        <f t="shared" si="69"/>
        <v>5768777</v>
      </c>
    </row>
    <row r="214" spans="1:15">
      <c r="A214" s="102"/>
      <c r="B214" s="102"/>
      <c r="C214" s="102"/>
      <c r="D214" s="102"/>
      <c r="E214" s="102"/>
      <c r="F214" s="102"/>
      <c r="G214" s="102"/>
      <c r="H214" s="102"/>
      <c r="I214" s="102"/>
      <c r="J214" s="103"/>
      <c r="K214" s="103"/>
      <c r="L214" s="103"/>
      <c r="M214" s="103"/>
      <c r="N214" s="103"/>
      <c r="O214" s="103"/>
    </row>
    <row r="216" spans="1:15" ht="16.5">
      <c r="L216" s="30"/>
      <c r="M216" s="162" t="s">
        <v>179</v>
      </c>
      <c r="N216" s="30"/>
      <c r="O216" s="30"/>
    </row>
    <row r="217" spans="1:15">
      <c r="L217" s="4" t="s">
        <v>217</v>
      </c>
      <c r="M217" s="4"/>
      <c r="N217" s="30"/>
      <c r="O217" s="30"/>
    </row>
    <row r="218" spans="1:15" ht="30">
      <c r="A218" s="224" t="s">
        <v>152</v>
      </c>
      <c r="B218" s="225"/>
      <c r="C218" s="225"/>
      <c r="D218" s="225"/>
      <c r="E218" s="225"/>
      <c r="F218" s="225"/>
      <c r="G218" s="225"/>
      <c r="H218" s="225"/>
      <c r="I218" s="226"/>
      <c r="J218" s="17" t="s">
        <v>94</v>
      </c>
      <c r="K218" s="17" t="s">
        <v>95</v>
      </c>
      <c r="L218" s="16" t="s">
        <v>96</v>
      </c>
      <c r="M218" s="17" t="s">
        <v>97</v>
      </c>
      <c r="N218" s="17" t="s">
        <v>98</v>
      </c>
      <c r="O218" s="17" t="s">
        <v>93</v>
      </c>
    </row>
    <row r="219" spans="1:15">
      <c r="A219" s="251" t="s">
        <v>118</v>
      </c>
      <c r="B219" s="252"/>
      <c r="C219" s="252"/>
      <c r="D219" s="252"/>
      <c r="E219" s="252"/>
      <c r="F219" s="252"/>
      <c r="G219" s="252"/>
      <c r="H219" s="252"/>
      <c r="I219" s="252"/>
      <c r="J219" s="252"/>
      <c r="K219" s="252"/>
      <c r="L219" s="252"/>
      <c r="M219" s="252"/>
      <c r="N219" s="252"/>
      <c r="O219" s="253"/>
    </row>
    <row r="220" spans="1:15">
      <c r="A220" s="236" t="s">
        <v>119</v>
      </c>
      <c r="B220" s="237"/>
      <c r="C220" s="237"/>
      <c r="D220" s="237"/>
      <c r="E220" s="237"/>
      <c r="F220" s="237"/>
      <c r="G220" s="237"/>
      <c r="H220" s="237"/>
      <c r="I220" s="238"/>
      <c r="J220" s="65">
        <f>J221+J222+J224</f>
        <v>0</v>
      </c>
      <c r="K220" s="65">
        <f t="shared" ref="K220:N220" si="70">K221+K222+K224</f>
        <v>0</v>
      </c>
      <c r="L220" s="65">
        <f t="shared" si="70"/>
        <v>0</v>
      </c>
      <c r="M220" s="65">
        <f t="shared" si="70"/>
        <v>0</v>
      </c>
      <c r="N220" s="65">
        <f t="shared" si="70"/>
        <v>129351.81818181818</v>
      </c>
      <c r="O220" s="65">
        <f>SUM(J220:N220)</f>
        <v>129351.81818181818</v>
      </c>
    </row>
    <row r="221" spans="1:15">
      <c r="A221" s="248" t="s">
        <v>120</v>
      </c>
      <c r="B221" s="249"/>
      <c r="C221" s="249"/>
      <c r="D221" s="249"/>
      <c r="E221" s="249"/>
      <c r="F221" s="249"/>
      <c r="G221" s="249"/>
      <c r="H221" s="249"/>
      <c r="I221" s="250"/>
      <c r="J221" s="3"/>
      <c r="K221" s="3"/>
      <c r="L221" s="3"/>
      <c r="M221" s="3"/>
      <c r="N221" s="3"/>
      <c r="O221" s="65">
        <f t="shared" ref="O221:O236" si="71">SUM(J221:N221)</f>
        <v>0</v>
      </c>
    </row>
    <row r="222" spans="1:15">
      <c r="A222" s="164" t="s">
        <v>121</v>
      </c>
      <c r="B222" s="227"/>
      <c r="C222" s="227"/>
      <c r="D222" s="227"/>
      <c r="E222" s="227"/>
      <c r="F222" s="227"/>
      <c r="G222" s="227"/>
      <c r="H222" s="227"/>
      <c r="I222" s="165"/>
      <c r="J222" s="13">
        <f>J223</f>
        <v>0</v>
      </c>
      <c r="K222" s="13">
        <f>K223</f>
        <v>0</v>
      </c>
      <c r="L222" s="13">
        <f t="shared" ref="L222:N222" si="72">L223</f>
        <v>0</v>
      </c>
      <c r="M222" s="13">
        <f t="shared" si="72"/>
        <v>0</v>
      </c>
      <c r="N222" s="13">
        <f t="shared" si="72"/>
        <v>54000.04827031376</v>
      </c>
      <c r="O222" s="65">
        <f t="shared" si="71"/>
        <v>54000.04827031376</v>
      </c>
    </row>
    <row r="223" spans="1:15">
      <c r="A223" s="233" t="s">
        <v>122</v>
      </c>
      <c r="B223" s="234"/>
      <c r="C223" s="234"/>
      <c r="D223" s="234"/>
      <c r="E223" s="234"/>
      <c r="F223" s="234"/>
      <c r="G223" s="234"/>
      <c r="H223" s="234"/>
      <c r="I223" s="235"/>
      <c r="J223" s="13"/>
      <c r="K223" s="13"/>
      <c r="L223" s="13"/>
      <c r="M223" s="13"/>
      <c r="N223" s="13">
        <f>(Z9+Z10)/W12*W10+Z13/33*W10</f>
        <v>54000.04827031376</v>
      </c>
      <c r="O223" s="65">
        <f t="shared" si="71"/>
        <v>54000.04827031376</v>
      </c>
    </row>
    <row r="224" spans="1:15">
      <c r="A224" s="164" t="s">
        <v>123</v>
      </c>
      <c r="B224" s="227"/>
      <c r="C224" s="227"/>
      <c r="D224" s="227"/>
      <c r="E224" s="227"/>
      <c r="F224" s="227"/>
      <c r="G224" s="227"/>
      <c r="H224" s="227"/>
      <c r="I224" s="165"/>
      <c r="J224" s="13"/>
      <c r="K224" s="13"/>
      <c r="L224" s="13"/>
      <c r="M224" s="9">
        <f>423919/S12*S10</f>
        <v>0</v>
      </c>
      <c r="N224" s="13">
        <f>(Z4+Z5+Z11)/W12*W10</f>
        <v>75351.769911504423</v>
      </c>
      <c r="O224" s="65">
        <f t="shared" si="71"/>
        <v>75351.769911504423</v>
      </c>
    </row>
    <row r="225" spans="1:17">
      <c r="A225" s="230" t="s">
        <v>124</v>
      </c>
      <c r="B225" s="231"/>
      <c r="C225" s="231"/>
      <c r="D225" s="231"/>
      <c r="E225" s="231"/>
      <c r="F225" s="231"/>
      <c r="G225" s="231"/>
      <c r="H225" s="231"/>
      <c r="I225" s="232"/>
      <c r="J225" s="65">
        <f>J226+J227+J233+J235</f>
        <v>0</v>
      </c>
      <c r="K225" s="65">
        <f t="shared" ref="K225:N225" si="73">K226+K227+K233+K235</f>
        <v>0</v>
      </c>
      <c r="L225" s="65">
        <f t="shared" si="73"/>
        <v>0</v>
      </c>
      <c r="M225" s="65">
        <f t="shared" si="73"/>
        <v>0</v>
      </c>
      <c r="N225" s="65">
        <f t="shared" si="73"/>
        <v>633107.25663716812</v>
      </c>
      <c r="O225" s="65">
        <f t="shared" si="71"/>
        <v>633107.25663716812</v>
      </c>
    </row>
    <row r="226" spans="1:17">
      <c r="A226" s="233" t="s">
        <v>125</v>
      </c>
      <c r="B226" s="234"/>
      <c r="C226" s="234"/>
      <c r="D226" s="234"/>
      <c r="E226" s="234"/>
      <c r="F226" s="234"/>
      <c r="G226" s="234"/>
      <c r="H226" s="234"/>
      <c r="I226" s="235"/>
      <c r="J226" s="64"/>
      <c r="K226" s="64"/>
      <c r="L226" s="64"/>
      <c r="M226" s="64"/>
      <c r="N226" s="64"/>
      <c r="O226" s="65">
        <f t="shared" si="71"/>
        <v>0</v>
      </c>
    </row>
    <row r="227" spans="1:17">
      <c r="A227" s="164" t="s">
        <v>126</v>
      </c>
      <c r="B227" s="227"/>
      <c r="C227" s="227"/>
      <c r="D227" s="227"/>
      <c r="E227" s="227"/>
      <c r="F227" s="227"/>
      <c r="G227" s="227"/>
      <c r="H227" s="227"/>
      <c r="I227" s="165"/>
      <c r="J227" s="64">
        <f>SUM(J228:J230)</f>
        <v>0</v>
      </c>
      <c r="K227" s="64">
        <f t="shared" ref="K227:N227" si="74">SUM(K228:K230)</f>
        <v>0</v>
      </c>
      <c r="L227" s="64">
        <f t="shared" si="74"/>
        <v>0</v>
      </c>
      <c r="M227" s="64">
        <f t="shared" si="74"/>
        <v>0</v>
      </c>
      <c r="N227" s="64">
        <f t="shared" si="74"/>
        <v>183260.6017699115</v>
      </c>
      <c r="O227" s="65">
        <f t="shared" si="71"/>
        <v>183260.6017699115</v>
      </c>
    </row>
    <row r="228" spans="1:17">
      <c r="A228" s="164" t="s">
        <v>82</v>
      </c>
      <c r="B228" s="227"/>
      <c r="C228" s="227"/>
      <c r="D228" s="227"/>
      <c r="E228" s="227"/>
      <c r="F228" s="227"/>
      <c r="G228" s="227"/>
      <c r="H228" s="227"/>
      <c r="I228" s="165"/>
      <c r="J228" s="13"/>
      <c r="K228" s="13"/>
      <c r="L228" s="13"/>
      <c r="M228" s="13">
        <f>(136033*90%)/S12*S10</f>
        <v>0</v>
      </c>
      <c r="N228" s="13">
        <f>(431588*90%)/W12*W10</f>
        <v>51561.398230088504</v>
      </c>
      <c r="O228" s="65">
        <f t="shared" si="71"/>
        <v>51561.398230088504</v>
      </c>
    </row>
    <row r="229" spans="1:17">
      <c r="A229" s="164" t="s">
        <v>83</v>
      </c>
      <c r="B229" s="227"/>
      <c r="C229" s="227"/>
      <c r="D229" s="227"/>
      <c r="E229" s="227"/>
      <c r="F229" s="227"/>
      <c r="G229" s="227"/>
      <c r="H229" s="227"/>
      <c r="I229" s="165"/>
      <c r="J229" s="13"/>
      <c r="K229" s="13"/>
      <c r="L229" s="13"/>
      <c r="M229" s="13">
        <f>(1464025*50%)/S12*S10</f>
        <v>0</v>
      </c>
      <c r="N229" s="13">
        <f>(1528736*50%)/W12*W10</f>
        <v>101464.77876106194</v>
      </c>
      <c r="O229" s="65">
        <f t="shared" si="71"/>
        <v>101464.77876106194</v>
      </c>
    </row>
    <row r="230" spans="1:17">
      <c r="A230" s="164" t="s">
        <v>84</v>
      </c>
      <c r="B230" s="227"/>
      <c r="C230" s="227"/>
      <c r="D230" s="227"/>
      <c r="E230" s="227"/>
      <c r="F230" s="227"/>
      <c r="G230" s="227"/>
      <c r="H230" s="227"/>
      <c r="I230" s="165"/>
      <c r="J230" s="13"/>
      <c r="K230" s="13"/>
      <c r="L230" s="13"/>
      <c r="M230" s="13">
        <f>32502/S12*S10</f>
        <v>0</v>
      </c>
      <c r="N230" s="13">
        <f>227766/W12*W10</f>
        <v>30234.424778761062</v>
      </c>
      <c r="O230" s="65">
        <f t="shared" si="71"/>
        <v>30234.424778761062</v>
      </c>
    </row>
    <row r="231" spans="1:17">
      <c r="A231" s="164" t="s">
        <v>127</v>
      </c>
      <c r="B231" s="227"/>
      <c r="C231" s="227"/>
      <c r="D231" s="227"/>
      <c r="E231" s="227"/>
      <c r="F231" s="227"/>
      <c r="G231" s="227"/>
      <c r="H231" s="227"/>
      <c r="I231" s="165"/>
      <c r="J231" s="13"/>
      <c r="K231" s="13"/>
      <c r="L231" s="13"/>
      <c r="M231" s="13"/>
      <c r="N231" s="13"/>
      <c r="O231" s="65">
        <f t="shared" si="71"/>
        <v>0</v>
      </c>
      <c r="P231" s="11"/>
    </row>
    <row r="232" spans="1:17">
      <c r="A232" s="164" t="s">
        <v>128</v>
      </c>
      <c r="B232" s="227"/>
      <c r="C232" s="227"/>
      <c r="D232" s="227"/>
      <c r="E232" s="227"/>
      <c r="F232" s="227"/>
      <c r="G232" s="227"/>
      <c r="H232" s="227"/>
      <c r="I232" s="165"/>
      <c r="J232" s="13"/>
      <c r="K232" s="13"/>
      <c r="L232" s="13"/>
      <c r="M232" s="13"/>
      <c r="N232" s="13"/>
      <c r="O232" s="65">
        <f t="shared" si="71"/>
        <v>0</v>
      </c>
    </row>
    <row r="233" spans="1:17">
      <c r="A233" s="228" t="s">
        <v>129</v>
      </c>
      <c r="B233" s="163"/>
      <c r="C233" s="163"/>
      <c r="D233" s="163"/>
      <c r="E233" s="163"/>
      <c r="F233" s="163"/>
      <c r="G233" s="163"/>
      <c r="H233" s="163"/>
      <c r="I233" s="229"/>
      <c r="J233" s="15">
        <f>J234</f>
        <v>0</v>
      </c>
      <c r="K233" s="15">
        <f t="shared" ref="K233:N233" si="75">K234</f>
        <v>0</v>
      </c>
      <c r="L233" s="15">
        <f t="shared" si="75"/>
        <v>0</v>
      </c>
      <c r="M233" s="15">
        <f t="shared" si="75"/>
        <v>0</v>
      </c>
      <c r="N233" s="15">
        <f t="shared" si="75"/>
        <v>9737.5471698113215</v>
      </c>
      <c r="O233" s="65">
        <f t="shared" si="71"/>
        <v>9737.5471698113215</v>
      </c>
    </row>
    <row r="234" spans="1:17">
      <c r="A234" s="233" t="s">
        <v>132</v>
      </c>
      <c r="B234" s="234"/>
      <c r="C234" s="234"/>
      <c r="D234" s="234"/>
      <c r="E234" s="234"/>
      <c r="F234" s="234"/>
      <c r="G234" s="234"/>
      <c r="H234" s="234"/>
      <c r="I234" s="235"/>
      <c r="J234" s="82"/>
      <c r="K234" s="13"/>
      <c r="L234" s="13"/>
      <c r="M234" s="13">
        <f>227731/S12*S10</f>
        <v>0</v>
      </c>
      <c r="N234" s="13">
        <f>206436/106*5</f>
        <v>9737.5471698113215</v>
      </c>
      <c r="O234" s="65">
        <f t="shared" si="71"/>
        <v>9737.5471698113215</v>
      </c>
    </row>
    <row r="235" spans="1:17">
      <c r="A235" s="164" t="s">
        <v>131</v>
      </c>
      <c r="B235" s="227"/>
      <c r="C235" s="227"/>
      <c r="D235" s="227"/>
      <c r="E235" s="227"/>
      <c r="F235" s="227"/>
      <c r="G235" s="227"/>
      <c r="H235" s="227"/>
      <c r="I235" s="165"/>
      <c r="J235" s="13">
        <f>J236</f>
        <v>0</v>
      </c>
      <c r="K235" s="13">
        <f t="shared" ref="K235:N235" si="76">K236</f>
        <v>0</v>
      </c>
      <c r="L235" s="13">
        <f t="shared" si="76"/>
        <v>0</v>
      </c>
      <c r="M235" s="13">
        <f t="shared" si="76"/>
        <v>0</v>
      </c>
      <c r="N235" s="13">
        <f t="shared" si="76"/>
        <v>440109.10769744532</v>
      </c>
      <c r="O235" s="65">
        <f t="shared" si="71"/>
        <v>440109.10769744532</v>
      </c>
    </row>
    <row r="236" spans="1:17">
      <c r="A236" s="233" t="s">
        <v>130</v>
      </c>
      <c r="B236" s="234"/>
      <c r="C236" s="234"/>
      <c r="D236" s="234"/>
      <c r="E236" s="234"/>
      <c r="F236" s="234"/>
      <c r="G236" s="234"/>
      <c r="H236" s="234"/>
      <c r="I236" s="235"/>
      <c r="J236" s="13"/>
      <c r="K236" s="13"/>
      <c r="L236" s="13"/>
      <c r="M236" s="13">
        <f>1546478.4/S12*S10</f>
        <v>0</v>
      </c>
      <c r="N236" s="13">
        <f>(Z7+Z8+Z16+Z17)/W12*W10-N227-N233</f>
        <v>440109.10769744532</v>
      </c>
      <c r="O236" s="65">
        <f t="shared" si="71"/>
        <v>440109.10769744532</v>
      </c>
    </row>
    <row r="237" spans="1:17">
      <c r="A237" s="230" t="s">
        <v>93</v>
      </c>
      <c r="B237" s="231"/>
      <c r="C237" s="231"/>
      <c r="D237" s="231"/>
      <c r="E237" s="231"/>
      <c r="F237" s="231"/>
      <c r="G237" s="231"/>
      <c r="H237" s="231"/>
      <c r="I237" s="232"/>
      <c r="J237" s="81">
        <f>J220+J225</f>
        <v>0</v>
      </c>
      <c r="K237" s="81">
        <f t="shared" ref="K237:O237" si="77">K220+K225</f>
        <v>0</v>
      </c>
      <c r="L237" s="81">
        <f t="shared" si="77"/>
        <v>0</v>
      </c>
      <c r="M237" s="81">
        <f t="shared" si="77"/>
        <v>0</v>
      </c>
      <c r="N237" s="81">
        <f t="shared" si="77"/>
        <v>762459.07481898624</v>
      </c>
      <c r="O237" s="81">
        <f t="shared" si="77"/>
        <v>762459.07481898624</v>
      </c>
      <c r="P237" s="11">
        <f>N237-762459.07</f>
        <v>4.8189862864091992E-3</v>
      </c>
    </row>
    <row r="238" spans="1:17">
      <c r="A238" s="257" t="s">
        <v>136</v>
      </c>
      <c r="B238" s="258"/>
      <c r="C238" s="258"/>
      <c r="D238" s="258"/>
      <c r="E238" s="258"/>
      <c r="F238" s="258"/>
      <c r="G238" s="258"/>
      <c r="H238" s="258"/>
      <c r="I238" s="259"/>
      <c r="J238" s="63">
        <f>J220+J225</f>
        <v>0</v>
      </c>
      <c r="K238" s="63">
        <f t="shared" ref="K238:O238" si="78">K220+K225</f>
        <v>0</v>
      </c>
      <c r="L238" s="63">
        <f t="shared" si="78"/>
        <v>0</v>
      </c>
      <c r="M238" s="63">
        <f t="shared" si="78"/>
        <v>0</v>
      </c>
      <c r="N238" s="63">
        <f>N237/W10</f>
        <v>50830.604987932413</v>
      </c>
      <c r="O238" s="63">
        <f t="shared" si="78"/>
        <v>762459.07481898624</v>
      </c>
    </row>
    <row r="239" spans="1:17" s="104" customFormat="1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  <c r="P239"/>
    </row>
    <row r="240" spans="1:17" s="104" customFormat="1" ht="16.5">
      <c r="A240"/>
      <c r="B240"/>
      <c r="C240"/>
      <c r="D240"/>
      <c r="E240"/>
      <c r="F240"/>
      <c r="G240"/>
      <c r="H240"/>
      <c r="I240"/>
      <c r="J240"/>
      <c r="K240"/>
      <c r="L240" s="30"/>
      <c r="M240" s="162" t="s">
        <v>181</v>
      </c>
      <c r="N240" s="30"/>
      <c r="O240" s="30"/>
      <c r="P240"/>
      <c r="Q240"/>
    </row>
    <row r="241" spans="1:15">
      <c r="L241" s="4" t="s">
        <v>217</v>
      </c>
      <c r="M241" s="4"/>
      <c r="N241" s="30"/>
      <c r="O241" s="30"/>
    </row>
    <row r="242" spans="1:15" ht="30">
      <c r="A242" s="224" t="s">
        <v>152</v>
      </c>
      <c r="B242" s="225"/>
      <c r="C242" s="225"/>
      <c r="D242" s="225"/>
      <c r="E242" s="225"/>
      <c r="F242" s="225"/>
      <c r="G242" s="225"/>
      <c r="H242" s="225"/>
      <c r="I242" s="226"/>
      <c r="J242" s="17" t="s">
        <v>94</v>
      </c>
      <c r="K242" s="17" t="s">
        <v>95</v>
      </c>
      <c r="L242" s="16" t="s">
        <v>96</v>
      </c>
      <c r="M242" s="17" t="s">
        <v>97</v>
      </c>
      <c r="N242" s="17" t="s">
        <v>98</v>
      </c>
      <c r="O242" s="17" t="s">
        <v>93</v>
      </c>
    </row>
    <row r="243" spans="1:15" ht="15" customHeight="1">
      <c r="A243" s="251" t="s">
        <v>133</v>
      </c>
      <c r="B243" s="252"/>
      <c r="C243" s="252"/>
      <c r="D243" s="252"/>
      <c r="E243" s="252"/>
      <c r="F243" s="252"/>
      <c r="G243" s="252"/>
      <c r="H243" s="252"/>
      <c r="I243" s="252"/>
      <c r="J243" s="252"/>
      <c r="K243" s="252"/>
      <c r="L243" s="252"/>
      <c r="M243" s="252"/>
      <c r="N243" s="252"/>
      <c r="O243" s="253"/>
    </row>
    <row r="244" spans="1:15">
      <c r="A244" s="236" t="s">
        <v>119</v>
      </c>
      <c r="B244" s="237"/>
      <c r="C244" s="237"/>
      <c r="D244" s="237"/>
      <c r="E244" s="237"/>
      <c r="F244" s="237"/>
      <c r="G244" s="237"/>
      <c r="H244" s="237"/>
      <c r="I244" s="238"/>
      <c r="J244" s="65">
        <f>J245+J246+J248</f>
        <v>462531.35637663881</v>
      </c>
      <c r="K244" s="65">
        <f t="shared" ref="K244:O244" si="79">K245+K246+K248</f>
        <v>0</v>
      </c>
      <c r="L244" s="65">
        <f t="shared" si="79"/>
        <v>0</v>
      </c>
      <c r="M244" s="97">
        <f>M245+M246+M248</f>
        <v>150426.92307692306</v>
      </c>
      <c r="N244" s="97">
        <f>N245+N246+N248</f>
        <v>155222.18181818182</v>
      </c>
      <c r="O244" s="65">
        <f t="shared" si="79"/>
        <v>768180.46127174376</v>
      </c>
    </row>
    <row r="245" spans="1:15">
      <c r="A245" s="248" t="s">
        <v>120</v>
      </c>
      <c r="B245" s="249"/>
      <c r="C245" s="249"/>
      <c r="D245" s="249"/>
      <c r="E245" s="249"/>
      <c r="F245" s="249"/>
      <c r="G245" s="249"/>
      <c r="H245" s="249"/>
      <c r="I245" s="250"/>
      <c r="J245" s="3"/>
      <c r="K245" s="3"/>
      <c r="L245" s="3"/>
      <c r="M245" s="3"/>
      <c r="N245" s="3"/>
      <c r="O245" s="65">
        <f t="shared" ref="O245:O261" si="80">SUM(J245:N245)</f>
        <v>0</v>
      </c>
    </row>
    <row r="246" spans="1:15">
      <c r="A246" s="164" t="s">
        <v>121</v>
      </c>
      <c r="B246" s="227"/>
      <c r="C246" s="227"/>
      <c r="D246" s="227"/>
      <c r="E246" s="227"/>
      <c r="F246" s="227"/>
      <c r="G246" s="227"/>
      <c r="H246" s="227"/>
      <c r="I246" s="165"/>
      <c r="J246" s="15">
        <f>J247</f>
        <v>142237.36829558999</v>
      </c>
      <c r="K246" s="15">
        <f t="shared" ref="K246:O246" si="81">K247</f>
        <v>0</v>
      </c>
      <c r="L246" s="15">
        <f t="shared" si="81"/>
        <v>0</v>
      </c>
      <c r="M246" s="15">
        <f t="shared" si="81"/>
        <v>62005.384615384617</v>
      </c>
      <c r="N246" s="15">
        <f t="shared" si="81"/>
        <v>64800.05792437651</v>
      </c>
      <c r="O246" s="96">
        <f t="shared" si="81"/>
        <v>269042.81083535112</v>
      </c>
    </row>
    <row r="247" spans="1:15" ht="30" customHeight="1">
      <c r="A247" s="233" t="s">
        <v>122</v>
      </c>
      <c r="B247" s="234"/>
      <c r="C247" s="234"/>
      <c r="D247" s="234"/>
      <c r="E247" s="234"/>
      <c r="F247" s="234"/>
      <c r="G247" s="234"/>
      <c r="H247" s="234"/>
      <c r="I247" s="235"/>
      <c r="J247" s="13">
        <f>(J9+J10)/G11*G10+J13</f>
        <v>142237.36829558999</v>
      </c>
      <c r="K247" s="13"/>
      <c r="L247" s="13"/>
      <c r="M247" s="13">
        <f>(V9+V10)/S12*S11+V13</f>
        <v>62005.384615384617</v>
      </c>
      <c r="N247" s="13">
        <f>(Z9+Z10)/W12*W11+Z13/33*W11</f>
        <v>64800.05792437651</v>
      </c>
      <c r="O247" s="65">
        <f>SUM(J247:N247)</f>
        <v>269042.81083535112</v>
      </c>
    </row>
    <row r="248" spans="1:15">
      <c r="A248" s="164" t="s">
        <v>123</v>
      </c>
      <c r="B248" s="227"/>
      <c r="C248" s="227"/>
      <c r="D248" s="227"/>
      <c r="E248" s="227"/>
      <c r="F248" s="227"/>
      <c r="G248" s="227"/>
      <c r="H248" s="227"/>
      <c r="I248" s="165"/>
      <c r="J248" s="15">
        <f>(J4+J5+J11)/G11*G10</f>
        <v>320293.98808104882</v>
      </c>
      <c r="K248" s="13"/>
      <c r="L248" s="13"/>
      <c r="M248" s="13">
        <f>(V5+V4+V11)/S12*S11</f>
        <v>88421.538461538454</v>
      </c>
      <c r="N248" s="13">
        <f>(Z4+Z5+Z11)/W12*W11</f>
        <v>90422.123893805314</v>
      </c>
      <c r="O248" s="65">
        <f t="shared" si="80"/>
        <v>499137.65043639258</v>
      </c>
    </row>
    <row r="249" spans="1:15">
      <c r="A249" s="230" t="s">
        <v>124</v>
      </c>
      <c r="B249" s="231"/>
      <c r="C249" s="231"/>
      <c r="D249" s="231"/>
      <c r="E249" s="231"/>
      <c r="F249" s="231"/>
      <c r="G249" s="231"/>
      <c r="H249" s="231"/>
      <c r="I249" s="232"/>
      <c r="J249" s="65">
        <f>J250+J251+J257+J259</f>
        <v>982832.24791418365</v>
      </c>
      <c r="K249" s="65">
        <f>K250+K251+K258+K259</f>
        <v>0</v>
      </c>
      <c r="L249" s="65">
        <f t="shared" ref="L249:N249" si="82">L250+L251+L257+L259</f>
        <v>0</v>
      </c>
      <c r="M249" s="65">
        <f t="shared" si="82"/>
        <v>855433.84615384601</v>
      </c>
      <c r="N249" s="65">
        <f t="shared" si="82"/>
        <v>759728.70796460181</v>
      </c>
      <c r="O249" s="65">
        <f t="shared" si="80"/>
        <v>2597994.8020326314</v>
      </c>
    </row>
    <row r="250" spans="1:15">
      <c r="A250" s="233" t="s">
        <v>125</v>
      </c>
      <c r="B250" s="234"/>
      <c r="C250" s="234"/>
      <c r="D250" s="234"/>
      <c r="E250" s="234"/>
      <c r="F250" s="234"/>
      <c r="G250" s="234"/>
      <c r="H250" s="234"/>
      <c r="I250" s="235"/>
      <c r="J250" s="64"/>
      <c r="K250" s="64"/>
      <c r="L250" s="64"/>
      <c r="M250" s="64"/>
      <c r="N250" s="64">
        <f>Z209</f>
        <v>0</v>
      </c>
      <c r="O250" s="65">
        <f t="shared" si="80"/>
        <v>0</v>
      </c>
    </row>
    <row r="251" spans="1:15">
      <c r="A251" s="164" t="s">
        <v>126</v>
      </c>
      <c r="B251" s="227"/>
      <c r="C251" s="227"/>
      <c r="D251" s="227"/>
      <c r="E251" s="227"/>
      <c r="F251" s="227"/>
      <c r="G251" s="227"/>
      <c r="H251" s="227"/>
      <c r="I251" s="165"/>
      <c r="J251" s="64">
        <f>SUM(J252:J254)</f>
        <v>374624.87342073896</v>
      </c>
      <c r="K251" s="64">
        <f t="shared" ref="K251:N251" si="83">SUM(K252:K254)</f>
        <v>0</v>
      </c>
      <c r="L251" s="64">
        <f t="shared" si="83"/>
        <v>0</v>
      </c>
      <c r="M251" s="64">
        <f t="shared" si="83"/>
        <v>289052.27884615381</v>
      </c>
      <c r="N251" s="64">
        <f t="shared" si="83"/>
        <v>219912.72212389379</v>
      </c>
      <c r="O251" s="65">
        <f t="shared" si="80"/>
        <v>883589.87439078663</v>
      </c>
    </row>
    <row r="252" spans="1:15">
      <c r="A252" s="164" t="s">
        <v>82</v>
      </c>
      <c r="B252" s="227"/>
      <c r="C252" s="227"/>
      <c r="D252" s="227"/>
      <c r="E252" s="227"/>
      <c r="F252" s="227"/>
      <c r="G252" s="227"/>
      <c r="H252" s="227"/>
      <c r="I252" s="165"/>
      <c r="J252" s="15">
        <f>(757884*90%)/G11*G10</f>
        <v>71542.804290822402</v>
      </c>
      <c r="K252" s="13"/>
      <c r="L252" s="13"/>
      <c r="M252" s="13">
        <f>(89496*90%)/S12*S11</f>
        <v>23234.538461538465</v>
      </c>
      <c r="N252" s="13">
        <f>(431588*90%)/W12*W11</f>
        <v>61873.677876106201</v>
      </c>
      <c r="O252" s="65">
        <f t="shared" si="80"/>
        <v>156651.02062846709</v>
      </c>
    </row>
    <row r="253" spans="1:15">
      <c r="A253" s="164" t="s">
        <v>83</v>
      </c>
      <c r="B253" s="227"/>
      <c r="C253" s="227"/>
      <c r="D253" s="227"/>
      <c r="E253" s="227"/>
      <c r="F253" s="227"/>
      <c r="G253" s="227"/>
      <c r="H253" s="227"/>
      <c r="I253" s="165"/>
      <c r="J253" s="13">
        <f>(4407818*50%)/G11*G10</f>
        <v>231160.89630512515</v>
      </c>
      <c r="K253" s="13"/>
      <c r="L253" s="13"/>
      <c r="M253" s="13">
        <f>(1808697*50%)/S12*S11</f>
        <v>260869.75961538462</v>
      </c>
      <c r="N253" s="13">
        <f>(1528736*50%)/W12*W11</f>
        <v>121757.73451327434</v>
      </c>
      <c r="O253" s="65">
        <f t="shared" si="80"/>
        <v>613788.39043378411</v>
      </c>
    </row>
    <row r="254" spans="1:15">
      <c r="A254" s="164" t="s">
        <v>84</v>
      </c>
      <c r="B254" s="227"/>
      <c r="C254" s="227"/>
      <c r="D254" s="227"/>
      <c r="E254" s="227"/>
      <c r="F254" s="227"/>
      <c r="G254" s="227"/>
      <c r="H254" s="227"/>
      <c r="I254" s="165"/>
      <c r="J254" s="13">
        <f>(287848+397855)/G11*G10</f>
        <v>71921.172824791414</v>
      </c>
      <c r="K254" s="13"/>
      <c r="L254" s="13"/>
      <c r="M254" s="13">
        <f>(17153/S12)*S11</f>
        <v>4947.9807692307695</v>
      </c>
      <c r="N254" s="13">
        <f>227766/W12*W11</f>
        <v>36281.30973451327</v>
      </c>
      <c r="O254" s="65">
        <f t="shared" si="80"/>
        <v>113150.46332853545</v>
      </c>
    </row>
    <row r="255" spans="1:15">
      <c r="A255" s="164" t="s">
        <v>127</v>
      </c>
      <c r="B255" s="227"/>
      <c r="C255" s="227"/>
      <c r="D255" s="227"/>
      <c r="E255" s="227"/>
      <c r="F255" s="227"/>
      <c r="G255" s="227"/>
      <c r="H255" s="227"/>
      <c r="I255" s="165"/>
      <c r="J255" s="13"/>
      <c r="K255" s="13"/>
      <c r="L255" s="13"/>
      <c r="M255" s="13"/>
      <c r="N255" s="13"/>
      <c r="O255" s="65">
        <f t="shared" si="80"/>
        <v>0</v>
      </c>
    </row>
    <row r="256" spans="1:15">
      <c r="A256" s="164" t="s">
        <v>128</v>
      </c>
      <c r="B256" s="227"/>
      <c r="C256" s="227"/>
      <c r="D256" s="227"/>
      <c r="E256" s="227"/>
      <c r="F256" s="227"/>
      <c r="G256" s="227"/>
      <c r="H256" s="227"/>
      <c r="I256" s="165"/>
      <c r="J256" s="13"/>
      <c r="K256" s="13"/>
      <c r="L256" s="13"/>
      <c r="M256" s="13"/>
      <c r="N256" s="13"/>
      <c r="O256" s="65">
        <f t="shared" si="80"/>
        <v>0</v>
      </c>
    </row>
    <row r="257" spans="1:15">
      <c r="A257" s="228" t="s">
        <v>129</v>
      </c>
      <c r="B257" s="163"/>
      <c r="C257" s="163"/>
      <c r="D257" s="163"/>
      <c r="E257" s="163"/>
      <c r="F257" s="163"/>
      <c r="G257" s="163"/>
      <c r="H257" s="163"/>
      <c r="I257" s="229"/>
      <c r="J257" s="15">
        <f>J258</f>
        <v>61076.510131108465</v>
      </c>
      <c r="K257" s="15">
        <f>K258</f>
        <v>0</v>
      </c>
      <c r="L257" s="15">
        <f>L258</f>
        <v>0</v>
      </c>
      <c r="M257" s="15">
        <f>M258</f>
        <v>65691.63461538461</v>
      </c>
      <c r="N257" s="15">
        <f>N258</f>
        <v>42845.207547169812</v>
      </c>
      <c r="O257" s="65">
        <f t="shared" si="80"/>
        <v>169613.3522936629</v>
      </c>
    </row>
    <row r="258" spans="1:15">
      <c r="A258" s="233" t="s">
        <v>132</v>
      </c>
      <c r="B258" s="234"/>
      <c r="C258" s="234"/>
      <c r="D258" s="234"/>
      <c r="E258" s="234"/>
      <c r="F258" s="234"/>
      <c r="G258" s="234"/>
      <c r="H258" s="234"/>
      <c r="I258" s="235"/>
      <c r="J258" s="15">
        <f>(150192+206166+37607+42355+42438+3423+100128)/G11*G10</f>
        <v>61076.510131108465</v>
      </c>
      <c r="K258" s="13"/>
      <c r="L258" s="13"/>
      <c r="M258" s="13">
        <f>227731/S12*S11</f>
        <v>65691.63461538461</v>
      </c>
      <c r="N258" s="13">
        <f>206436/106*22</f>
        <v>42845.207547169812</v>
      </c>
      <c r="O258" s="65">
        <f t="shared" si="80"/>
        <v>169613.3522936629</v>
      </c>
    </row>
    <row r="259" spans="1:15">
      <c r="A259" s="164" t="s">
        <v>131</v>
      </c>
      <c r="B259" s="227"/>
      <c r="C259" s="227"/>
      <c r="D259" s="227"/>
      <c r="E259" s="227"/>
      <c r="F259" s="227"/>
      <c r="G259" s="227"/>
      <c r="H259" s="227"/>
      <c r="I259" s="165"/>
      <c r="J259" s="13">
        <f>J260</f>
        <v>547130.86436233623</v>
      </c>
      <c r="K259" s="13">
        <f>K260</f>
        <v>0</v>
      </c>
      <c r="L259" s="13">
        <f>L260</f>
        <v>0</v>
      </c>
      <c r="M259" s="13">
        <f t="shared" ref="M259:N259" si="84">M260</f>
        <v>500689.93269230763</v>
      </c>
      <c r="N259" s="13">
        <f t="shared" si="84"/>
        <v>496970.7782935382</v>
      </c>
      <c r="O259" s="65">
        <f t="shared" si="80"/>
        <v>1544791.5753481821</v>
      </c>
    </row>
    <row r="260" spans="1:15">
      <c r="A260" s="233" t="s">
        <v>130</v>
      </c>
      <c r="B260" s="234"/>
      <c r="C260" s="234"/>
      <c r="D260" s="234"/>
      <c r="E260" s="234"/>
      <c r="F260" s="234"/>
      <c r="G260" s="234"/>
      <c r="H260" s="234"/>
      <c r="I260" s="235"/>
      <c r="J260" s="13">
        <f>(J7+J8+J16+J17)/G11*G10-J251-J257</f>
        <v>547130.86436233623</v>
      </c>
      <c r="K260" s="13"/>
      <c r="L260" s="13"/>
      <c r="M260" s="13">
        <f>(V7+V8+V16+V17)/S12*S11-M251-M257</f>
        <v>500689.93269230763</v>
      </c>
      <c r="N260" s="13">
        <f>(Z7+Z8+Z16+Z17)/W12*W11-N251-N257</f>
        <v>496970.7782935382</v>
      </c>
      <c r="O260" s="65">
        <f t="shared" si="80"/>
        <v>1544791.5753481821</v>
      </c>
    </row>
    <row r="261" spans="1:15">
      <c r="A261" s="230" t="s">
        <v>93</v>
      </c>
      <c r="B261" s="231"/>
      <c r="C261" s="231"/>
      <c r="D261" s="231"/>
      <c r="E261" s="231"/>
      <c r="F261" s="231"/>
      <c r="G261" s="231"/>
      <c r="H261" s="231"/>
      <c r="I261" s="232"/>
      <c r="J261" s="81">
        <f>J244+J249</f>
        <v>1445363.6042908225</v>
      </c>
      <c r="K261" s="81">
        <f t="shared" ref="K261:N261" si="85">K244+K249</f>
        <v>0</v>
      </c>
      <c r="L261" s="81">
        <f t="shared" si="85"/>
        <v>0</v>
      </c>
      <c r="M261" s="81">
        <f t="shared" si="85"/>
        <v>1005860.769230769</v>
      </c>
      <c r="N261" s="81">
        <f t="shared" si="85"/>
        <v>914950.88978278358</v>
      </c>
      <c r="O261" s="65">
        <f t="shared" si="80"/>
        <v>3366175.2633043751</v>
      </c>
    </row>
    <row r="262" spans="1:15">
      <c r="A262" s="245" t="s">
        <v>135</v>
      </c>
      <c r="B262" s="246"/>
      <c r="C262" s="246"/>
      <c r="D262" s="246"/>
      <c r="E262" s="246"/>
      <c r="F262" s="246"/>
      <c r="G262" s="246"/>
      <c r="H262" s="246"/>
      <c r="I262" s="247"/>
      <c r="J262" s="88">
        <f>J261/G10</f>
        <v>16424.586412395711</v>
      </c>
      <c r="K262" s="88">
        <f>K261/H10</f>
        <v>0</v>
      </c>
      <c r="L262" s="88"/>
      <c r="M262" s="88">
        <f>M261/S11</f>
        <v>67057.384615384595</v>
      </c>
      <c r="N262" s="88">
        <f>N261/W11</f>
        <v>50830.60498793242</v>
      </c>
      <c r="O262" s="89"/>
    </row>
    <row r="263" spans="1:15">
      <c r="A263" s="124"/>
      <c r="B263" s="124"/>
      <c r="C263" s="124"/>
      <c r="D263" s="124"/>
      <c r="E263" s="124"/>
      <c r="F263" s="124"/>
      <c r="G263" s="124"/>
      <c r="H263" s="124"/>
      <c r="I263" s="124"/>
      <c r="J263" s="13"/>
      <c r="K263" s="13"/>
      <c r="L263" s="13"/>
      <c r="M263" s="13"/>
      <c r="N263" s="13"/>
      <c r="O263" s="3"/>
    </row>
    <row r="264" spans="1:15">
      <c r="A264" s="236" t="s">
        <v>134</v>
      </c>
      <c r="B264" s="237"/>
      <c r="C264" s="237"/>
      <c r="D264" s="237"/>
      <c r="E264" s="237"/>
      <c r="F264" s="237"/>
      <c r="G264" s="237"/>
      <c r="H264" s="237"/>
      <c r="I264" s="238"/>
      <c r="J264" s="93">
        <f>J44+J69+J94+J117+J142+J167+J190+J213+J238+J261</f>
        <v>19018801</v>
      </c>
      <c r="K264" s="93">
        <f>K44+K69+K94+K117+K142+K167+K190+K213+K237+K261</f>
        <v>2993481.0000000005</v>
      </c>
      <c r="L264" s="93">
        <f>L44+L69+L94+L117+L142+L167+L190+L213+L238+L261</f>
        <v>11493274</v>
      </c>
      <c r="M264" s="93">
        <f>M44+M69+M94+M117+M142+M167+M190+M213+M237+M261</f>
        <v>3485871.9999999995</v>
      </c>
      <c r="N264" s="93">
        <f>N44+N69+N94+N117+N142+N167+N190+N213+N237+N261</f>
        <v>6054529</v>
      </c>
      <c r="O264" s="100">
        <f>O44+O69+O94+O117+O142+O167+O190+O213+O238+O261</f>
        <v>43045956.999999993</v>
      </c>
    </row>
    <row r="265" spans="1:15">
      <c r="A265" s="124"/>
      <c r="B265" s="124"/>
      <c r="C265" s="124"/>
      <c r="D265" s="124"/>
      <c r="E265" s="124"/>
      <c r="F265" s="124"/>
      <c r="G265" s="124"/>
      <c r="H265" s="124"/>
      <c r="I265" s="124"/>
      <c r="J265" s="13"/>
      <c r="K265" s="13"/>
      <c r="L265" s="13"/>
      <c r="M265" s="13"/>
      <c r="N265" s="13"/>
      <c r="O265" s="7"/>
    </row>
    <row r="266" spans="1:15">
      <c r="A266" s="124"/>
      <c r="B266" s="124"/>
      <c r="C266" s="124"/>
      <c r="D266" s="124"/>
      <c r="E266" s="124"/>
      <c r="F266" s="124"/>
      <c r="G266" s="124"/>
      <c r="H266" s="124"/>
      <c r="I266" s="124"/>
      <c r="J266" s="13">
        <f>J20</f>
        <v>19018801</v>
      </c>
      <c r="K266" s="13">
        <f>K20</f>
        <v>0</v>
      </c>
      <c r="L266" s="13"/>
      <c r="M266" s="13"/>
      <c r="N266" s="13"/>
      <c r="O266" s="7"/>
    </row>
    <row r="267" spans="1:15">
      <c r="A267" s="254" t="s">
        <v>151</v>
      </c>
      <c r="B267" s="255"/>
      <c r="C267" s="255"/>
      <c r="D267" s="255"/>
      <c r="E267" s="255"/>
      <c r="F267" s="255"/>
      <c r="G267" s="255"/>
      <c r="H267" s="255"/>
      <c r="I267" s="256"/>
      <c r="J267" s="93">
        <f>(J266-J213)/G11</f>
        <v>16992.643623361146</v>
      </c>
      <c r="K267" s="93">
        <f>K264/K9</f>
        <v>10216.658703071675</v>
      </c>
      <c r="L267" s="93">
        <f>L264/O9</f>
        <v>40469.274647887323</v>
      </c>
      <c r="M267" s="93">
        <f>M264/S12</f>
        <v>67035.999999999985</v>
      </c>
      <c r="N267" s="93">
        <f>N264/W12</f>
        <v>53579.902654867255</v>
      </c>
      <c r="O267" s="99">
        <f>J264+K264+L264+M264+N264</f>
        <v>43045957</v>
      </c>
    </row>
    <row r="268" spans="1:15">
      <c r="A268" s="124"/>
      <c r="B268" s="124"/>
      <c r="C268" s="124"/>
      <c r="D268" s="124"/>
      <c r="E268" s="124"/>
      <c r="F268" s="124"/>
      <c r="G268" s="124"/>
      <c r="H268" s="124"/>
      <c r="I268" s="124"/>
      <c r="J268" s="13"/>
      <c r="K268" s="13"/>
      <c r="L268" s="13"/>
      <c r="M268" s="13"/>
      <c r="N268" s="13"/>
      <c r="O268" s="7"/>
    </row>
    <row r="269" spans="1:15">
      <c r="A269" s="5"/>
      <c r="B269" s="5"/>
      <c r="C269" s="5"/>
      <c r="D269" s="5"/>
      <c r="E269" s="5"/>
      <c r="F269" s="5"/>
      <c r="G269" s="5"/>
      <c r="H269" s="5"/>
      <c r="I269" s="5"/>
      <c r="J269">
        <f>J20</f>
        <v>19018801</v>
      </c>
      <c r="K269">
        <f>N20</f>
        <v>2993481</v>
      </c>
      <c r="L269">
        <f>R20</f>
        <v>11493274</v>
      </c>
      <c r="M269" s="51">
        <f>V20</f>
        <v>3485872</v>
      </c>
      <c r="N269" s="72">
        <f>Z20</f>
        <v>6054529</v>
      </c>
      <c r="O269">
        <f>AA20</f>
        <v>43045957</v>
      </c>
    </row>
    <row r="270" spans="1:15">
      <c r="K270" s="11"/>
      <c r="M270" s="11"/>
      <c r="N270" s="11"/>
      <c r="O270" s="11"/>
    </row>
  </sheetData>
  <mergeCells count="230">
    <mergeCell ref="O2:R2"/>
    <mergeCell ref="S2:V2"/>
    <mergeCell ref="W2:Z2"/>
    <mergeCell ref="B4:D4"/>
    <mergeCell ref="B5:D5"/>
    <mergeCell ref="B6:D6"/>
    <mergeCell ref="A2:A3"/>
    <mergeCell ref="B2:D3"/>
    <mergeCell ref="E2:E3"/>
    <mergeCell ref="F2:F3"/>
    <mergeCell ref="G2:J2"/>
    <mergeCell ref="K2:N2"/>
    <mergeCell ref="B13:D13"/>
    <mergeCell ref="B14:D14"/>
    <mergeCell ref="B15:D15"/>
    <mergeCell ref="B16:D16"/>
    <mergeCell ref="B17:D17"/>
    <mergeCell ref="B18:D18"/>
    <mergeCell ref="B7:D7"/>
    <mergeCell ref="B8:D8"/>
    <mergeCell ref="B9:D9"/>
    <mergeCell ref="B10:D10"/>
    <mergeCell ref="B11:D11"/>
    <mergeCell ref="B12:D12"/>
    <mergeCell ref="A29:I29"/>
    <mergeCell ref="A30:I30"/>
    <mergeCell ref="A31:I31"/>
    <mergeCell ref="A32:I32"/>
    <mergeCell ref="A33:I33"/>
    <mergeCell ref="A34:I34"/>
    <mergeCell ref="B19:D19"/>
    <mergeCell ref="A20:D20"/>
    <mergeCell ref="A25:I25"/>
    <mergeCell ref="A26:O26"/>
    <mergeCell ref="A27:I27"/>
    <mergeCell ref="A28:I28"/>
    <mergeCell ref="A41:I41"/>
    <mergeCell ref="A42:I42"/>
    <mergeCell ref="A43:I43"/>
    <mergeCell ref="A44:I44"/>
    <mergeCell ref="A50:I50"/>
    <mergeCell ref="A51:O51"/>
    <mergeCell ref="A35:I35"/>
    <mergeCell ref="A36:I36"/>
    <mergeCell ref="A37:I37"/>
    <mergeCell ref="A38:I38"/>
    <mergeCell ref="A39:I39"/>
    <mergeCell ref="A40:I40"/>
    <mergeCell ref="A58:I58"/>
    <mergeCell ref="A59:I59"/>
    <mergeCell ref="A60:I60"/>
    <mergeCell ref="A61:I61"/>
    <mergeCell ref="A62:I62"/>
    <mergeCell ref="A63:I63"/>
    <mergeCell ref="A52:I52"/>
    <mergeCell ref="A53:I53"/>
    <mergeCell ref="A54:I54"/>
    <mergeCell ref="A55:I55"/>
    <mergeCell ref="A56:I56"/>
    <mergeCell ref="A57:I57"/>
    <mergeCell ref="A75:I75"/>
    <mergeCell ref="A76:O76"/>
    <mergeCell ref="A77:I77"/>
    <mergeCell ref="A78:I78"/>
    <mergeCell ref="A79:I79"/>
    <mergeCell ref="A80:I80"/>
    <mergeCell ref="A64:I64"/>
    <mergeCell ref="A65:I65"/>
    <mergeCell ref="A66:I66"/>
    <mergeCell ref="A67:I67"/>
    <mergeCell ref="A68:I68"/>
    <mergeCell ref="A69:I69"/>
    <mergeCell ref="A87:I87"/>
    <mergeCell ref="A88:I88"/>
    <mergeCell ref="A89:I89"/>
    <mergeCell ref="A90:I90"/>
    <mergeCell ref="A91:I91"/>
    <mergeCell ref="A92:I92"/>
    <mergeCell ref="A81:I81"/>
    <mergeCell ref="A82:I82"/>
    <mergeCell ref="A83:I83"/>
    <mergeCell ref="A84:I84"/>
    <mergeCell ref="A85:I85"/>
    <mergeCell ref="A86:I86"/>
    <mergeCell ref="A102:I102"/>
    <mergeCell ref="A103:I103"/>
    <mergeCell ref="A104:I104"/>
    <mergeCell ref="A105:I105"/>
    <mergeCell ref="A106:I106"/>
    <mergeCell ref="A107:I107"/>
    <mergeCell ref="A93:I93"/>
    <mergeCell ref="A94:I94"/>
    <mergeCell ref="A98:I98"/>
    <mergeCell ref="A99:O99"/>
    <mergeCell ref="A100:I100"/>
    <mergeCell ref="A101:I101"/>
    <mergeCell ref="A114:I114"/>
    <mergeCell ref="A115:I115"/>
    <mergeCell ref="A116:I116"/>
    <mergeCell ref="A117:I117"/>
    <mergeCell ref="A123:I123"/>
    <mergeCell ref="A124:O124"/>
    <mergeCell ref="A108:I108"/>
    <mergeCell ref="A109:I109"/>
    <mergeCell ref="A110:I110"/>
    <mergeCell ref="A111:I111"/>
    <mergeCell ref="A112:I112"/>
    <mergeCell ref="A113:I113"/>
    <mergeCell ref="A131:I131"/>
    <mergeCell ref="A132:I132"/>
    <mergeCell ref="A133:I133"/>
    <mergeCell ref="A134:I134"/>
    <mergeCell ref="A135:I135"/>
    <mergeCell ref="A136:I136"/>
    <mergeCell ref="A125:I125"/>
    <mergeCell ref="A126:I126"/>
    <mergeCell ref="A127:I127"/>
    <mergeCell ref="A128:I128"/>
    <mergeCell ref="A129:I129"/>
    <mergeCell ref="A130:I130"/>
    <mergeCell ref="A148:I148"/>
    <mergeCell ref="A149:O149"/>
    <mergeCell ref="A150:I150"/>
    <mergeCell ref="A151:I151"/>
    <mergeCell ref="A152:I152"/>
    <mergeCell ref="A153:I153"/>
    <mergeCell ref="A137:I137"/>
    <mergeCell ref="A138:I138"/>
    <mergeCell ref="A139:I139"/>
    <mergeCell ref="A140:I140"/>
    <mergeCell ref="A141:I141"/>
    <mergeCell ref="A142:I142"/>
    <mergeCell ref="A160:I160"/>
    <mergeCell ref="A161:I161"/>
    <mergeCell ref="A162:I162"/>
    <mergeCell ref="A163:I163"/>
    <mergeCell ref="A164:I164"/>
    <mergeCell ref="A165:I165"/>
    <mergeCell ref="A154:I154"/>
    <mergeCell ref="A155:I155"/>
    <mergeCell ref="A156:I156"/>
    <mergeCell ref="A157:I157"/>
    <mergeCell ref="A158:I158"/>
    <mergeCell ref="A159:I159"/>
    <mergeCell ref="A175:I175"/>
    <mergeCell ref="A176:I176"/>
    <mergeCell ref="A177:I177"/>
    <mergeCell ref="A178:I178"/>
    <mergeCell ref="A179:I179"/>
    <mergeCell ref="A180:I180"/>
    <mergeCell ref="A166:I166"/>
    <mergeCell ref="A167:I167"/>
    <mergeCell ref="A171:I171"/>
    <mergeCell ref="A172:O172"/>
    <mergeCell ref="A173:I173"/>
    <mergeCell ref="A174:I174"/>
    <mergeCell ref="A187:I187"/>
    <mergeCell ref="A188:I188"/>
    <mergeCell ref="A189:I189"/>
    <mergeCell ref="A190:I190"/>
    <mergeCell ref="A194:I194"/>
    <mergeCell ref="A195:O195"/>
    <mergeCell ref="A181:I181"/>
    <mergeCell ref="A182:I182"/>
    <mergeCell ref="A183:I183"/>
    <mergeCell ref="A184:I184"/>
    <mergeCell ref="A185:I185"/>
    <mergeCell ref="A186:I186"/>
    <mergeCell ref="A202:I202"/>
    <mergeCell ref="A203:I203"/>
    <mergeCell ref="A204:I204"/>
    <mergeCell ref="A205:I205"/>
    <mergeCell ref="A206:I206"/>
    <mergeCell ref="A207:I207"/>
    <mergeCell ref="A196:I196"/>
    <mergeCell ref="A197:I197"/>
    <mergeCell ref="A198:I198"/>
    <mergeCell ref="A199:I199"/>
    <mergeCell ref="A200:I200"/>
    <mergeCell ref="A201:I201"/>
    <mergeCell ref="A218:I218"/>
    <mergeCell ref="A219:O219"/>
    <mergeCell ref="A220:I220"/>
    <mergeCell ref="A221:I221"/>
    <mergeCell ref="A222:I222"/>
    <mergeCell ref="A223:I223"/>
    <mergeCell ref="A208:I208"/>
    <mergeCell ref="A209:I209"/>
    <mergeCell ref="A210:I210"/>
    <mergeCell ref="A211:I211"/>
    <mergeCell ref="A212:I212"/>
    <mergeCell ref="A213:I213"/>
    <mergeCell ref="A230:I230"/>
    <mergeCell ref="A231:I231"/>
    <mergeCell ref="A232:I232"/>
    <mergeCell ref="A233:I233"/>
    <mergeCell ref="A234:I234"/>
    <mergeCell ref="A235:I235"/>
    <mergeCell ref="A224:I224"/>
    <mergeCell ref="A225:I225"/>
    <mergeCell ref="A226:I226"/>
    <mergeCell ref="A227:I227"/>
    <mergeCell ref="A228:I228"/>
    <mergeCell ref="A229:I229"/>
    <mergeCell ref="A245:I245"/>
    <mergeCell ref="A246:I246"/>
    <mergeCell ref="A247:I247"/>
    <mergeCell ref="A248:I248"/>
    <mergeCell ref="A249:I249"/>
    <mergeCell ref="A250:I250"/>
    <mergeCell ref="A236:I236"/>
    <mergeCell ref="A237:I237"/>
    <mergeCell ref="A238:I238"/>
    <mergeCell ref="A242:I242"/>
    <mergeCell ref="A243:O243"/>
    <mergeCell ref="A244:I244"/>
    <mergeCell ref="A264:I264"/>
    <mergeCell ref="A267:I267"/>
    <mergeCell ref="A257:I257"/>
    <mergeCell ref="A258:I258"/>
    <mergeCell ref="A259:I259"/>
    <mergeCell ref="A260:I260"/>
    <mergeCell ref="A261:I261"/>
    <mergeCell ref="A262:I262"/>
    <mergeCell ref="A251:I251"/>
    <mergeCell ref="A252:I252"/>
    <mergeCell ref="A253:I253"/>
    <mergeCell ref="A254:I254"/>
    <mergeCell ref="A255:I255"/>
    <mergeCell ref="A256:I256"/>
  </mergeCells>
  <pageMargins left="0" right="0" top="0.74803149606299213" bottom="0.74803149606299213" header="0.31496062992125984" footer="0.31496062992125984"/>
  <pageSetup paperSize="9" scale="54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AB69"/>
  <sheetViews>
    <sheetView workbookViewId="0">
      <selection activeCell="A2" sqref="A2:AA19"/>
    </sheetView>
  </sheetViews>
  <sheetFormatPr defaultRowHeight="15"/>
  <cols>
    <col min="10" max="10" width="12.7109375" customWidth="1"/>
    <col min="11" max="11" width="10.5703125" customWidth="1"/>
    <col min="12" max="12" width="11.5703125" customWidth="1"/>
    <col min="13" max="13" width="12.85546875" customWidth="1"/>
    <col min="14" max="14" width="10.5703125" customWidth="1"/>
    <col min="15" max="15" width="11" customWidth="1"/>
    <col min="18" max="18" width="11" customWidth="1"/>
    <col min="22" max="22" width="10.42578125" customWidth="1"/>
    <col min="26" max="26" width="10.7109375" customWidth="1"/>
    <col min="27" max="27" width="10.42578125" customWidth="1"/>
  </cols>
  <sheetData>
    <row r="2" spans="1:28" ht="16.5">
      <c r="A2" s="23"/>
      <c r="B2" s="23"/>
      <c r="C2" s="23"/>
      <c r="D2" s="23"/>
      <c r="E2" s="23"/>
      <c r="F2" s="23"/>
      <c r="G2" s="23"/>
      <c r="H2" s="23"/>
      <c r="I2" s="23"/>
      <c r="J2" s="23"/>
      <c r="K2" s="316" t="s">
        <v>216</v>
      </c>
      <c r="L2" s="316"/>
      <c r="M2" s="316"/>
      <c r="N2" s="316"/>
      <c r="O2" s="316"/>
      <c r="P2" s="316"/>
      <c r="Q2" s="316"/>
      <c r="R2" s="30"/>
      <c r="S2" s="30"/>
      <c r="T2" s="30"/>
      <c r="U2" s="30"/>
      <c r="V2" s="30"/>
      <c r="W2" s="30"/>
      <c r="X2" s="30"/>
      <c r="Y2" s="30"/>
      <c r="Z2" s="30"/>
      <c r="AA2" s="30"/>
      <c r="AB2" s="4"/>
    </row>
    <row r="3" spans="1:28">
      <c r="A3" s="208" t="s">
        <v>2</v>
      </c>
      <c r="B3" s="210" t="s">
        <v>22</v>
      </c>
      <c r="C3" s="211"/>
      <c r="D3" s="212"/>
      <c r="E3" s="216" t="s">
        <v>0</v>
      </c>
      <c r="F3" s="218" t="s">
        <v>33</v>
      </c>
      <c r="G3" s="205" t="s">
        <v>25</v>
      </c>
      <c r="H3" s="206"/>
      <c r="I3" s="206"/>
      <c r="J3" s="207"/>
      <c r="K3" s="205" t="s">
        <v>26</v>
      </c>
      <c r="L3" s="206"/>
      <c r="M3" s="206"/>
      <c r="N3" s="207"/>
      <c r="O3" s="205" t="s">
        <v>27</v>
      </c>
      <c r="P3" s="206"/>
      <c r="Q3" s="206"/>
      <c r="R3" s="207"/>
      <c r="S3" s="205" t="s">
        <v>28</v>
      </c>
      <c r="T3" s="206"/>
      <c r="U3" s="206"/>
      <c r="V3" s="207"/>
      <c r="W3" s="205" t="s">
        <v>29</v>
      </c>
      <c r="X3" s="206"/>
      <c r="Y3" s="206"/>
      <c r="Z3" s="207"/>
      <c r="AA3" s="190" t="s">
        <v>197</v>
      </c>
      <c r="AB3" s="4"/>
    </row>
    <row r="4" spans="1:28" ht="38.25">
      <c r="A4" s="209"/>
      <c r="B4" s="213"/>
      <c r="C4" s="214"/>
      <c r="D4" s="215"/>
      <c r="E4" s="217"/>
      <c r="F4" s="219"/>
      <c r="G4" s="137" t="s">
        <v>18</v>
      </c>
      <c r="H4" s="137" t="s">
        <v>9</v>
      </c>
      <c r="I4" s="137" t="s">
        <v>10</v>
      </c>
      <c r="J4" s="137" t="s">
        <v>16</v>
      </c>
      <c r="K4" s="137" t="s">
        <v>8</v>
      </c>
      <c r="L4" s="137" t="s">
        <v>9</v>
      </c>
      <c r="M4" s="137" t="s">
        <v>10</v>
      </c>
      <c r="N4" s="137" t="s">
        <v>16</v>
      </c>
      <c r="O4" s="137" t="s">
        <v>8</v>
      </c>
      <c r="P4" s="137" t="s">
        <v>9</v>
      </c>
      <c r="Q4" s="137" t="s">
        <v>1</v>
      </c>
      <c r="R4" s="137" t="s">
        <v>16</v>
      </c>
      <c r="S4" s="137" t="s">
        <v>8</v>
      </c>
      <c r="T4" s="137" t="s">
        <v>9</v>
      </c>
      <c r="U4" s="137" t="s">
        <v>15</v>
      </c>
      <c r="V4" s="139" t="s">
        <v>16</v>
      </c>
      <c r="W4" s="137" t="s">
        <v>8</v>
      </c>
      <c r="X4" s="137" t="s">
        <v>9</v>
      </c>
      <c r="Y4" s="137" t="s">
        <v>15</v>
      </c>
      <c r="Z4" s="137" t="s">
        <v>16</v>
      </c>
      <c r="AA4" s="190"/>
      <c r="AB4" s="12"/>
    </row>
    <row r="5" spans="1:28">
      <c r="A5" s="24" t="s">
        <v>6</v>
      </c>
      <c r="B5" s="181" t="s">
        <v>23</v>
      </c>
      <c r="C5" s="182"/>
      <c r="D5" s="183"/>
      <c r="E5" s="143" t="s">
        <v>24</v>
      </c>
      <c r="F5" s="144">
        <v>3000</v>
      </c>
      <c r="G5" s="144">
        <v>39</v>
      </c>
      <c r="H5" s="144">
        <f>F5*G7</f>
        <v>690000</v>
      </c>
      <c r="I5" s="144">
        <v>20</v>
      </c>
      <c r="J5" s="149">
        <f>1253876-50000</f>
        <v>1203876</v>
      </c>
      <c r="K5" s="144">
        <v>13</v>
      </c>
      <c r="L5" s="144">
        <f>F5*K7</f>
        <v>132000</v>
      </c>
      <c r="M5" s="144">
        <v>70</v>
      </c>
      <c r="N5" s="149">
        <f>423346-50000</f>
        <v>373346</v>
      </c>
      <c r="O5" s="144">
        <v>17</v>
      </c>
      <c r="P5" s="144">
        <f>F5*O7</f>
        <v>264000</v>
      </c>
      <c r="Q5" s="144">
        <v>190</v>
      </c>
      <c r="R5" s="151">
        <f>696547-R6</f>
        <v>646547</v>
      </c>
      <c r="S5" s="144">
        <v>46</v>
      </c>
      <c r="T5" s="144">
        <f>F5*S7</f>
        <v>357000</v>
      </c>
      <c r="U5" s="144">
        <v>40</v>
      </c>
      <c r="V5" s="152">
        <f>692886-V6</f>
        <v>642886</v>
      </c>
      <c r="W5" s="144">
        <v>17</v>
      </c>
      <c r="X5" s="144">
        <f>F5*W5</f>
        <v>51000</v>
      </c>
      <c r="Y5" s="144">
        <v>60</v>
      </c>
      <c r="Z5" s="152">
        <f>380198-Z6</f>
        <v>330198</v>
      </c>
      <c r="AA5" s="31">
        <f t="shared" ref="AA5:AA18" si="0">J5+N5+R5+V5+Z5</f>
        <v>3196853</v>
      </c>
      <c r="AB5" s="4"/>
    </row>
    <row r="6" spans="1:28">
      <c r="A6" s="24" t="s">
        <v>13</v>
      </c>
      <c r="B6" s="181" t="s">
        <v>30</v>
      </c>
      <c r="C6" s="182"/>
      <c r="D6" s="183"/>
      <c r="E6" s="144"/>
      <c r="F6" s="144"/>
      <c r="G6" s="144">
        <v>191</v>
      </c>
      <c r="H6" s="144"/>
      <c r="I6" s="144"/>
      <c r="J6" s="149">
        <v>50000</v>
      </c>
      <c r="K6" s="144">
        <v>31</v>
      </c>
      <c r="L6" s="144"/>
      <c r="M6" s="144"/>
      <c r="N6" s="149">
        <v>50000</v>
      </c>
      <c r="O6" s="144">
        <v>71</v>
      </c>
      <c r="P6" s="144"/>
      <c r="Q6" s="144"/>
      <c r="R6" s="151">
        <v>50000</v>
      </c>
      <c r="S6" s="144">
        <v>73</v>
      </c>
      <c r="T6" s="144"/>
      <c r="U6" s="144"/>
      <c r="V6" s="152">
        <v>50000</v>
      </c>
      <c r="W6" s="144">
        <v>64</v>
      </c>
      <c r="X6" s="144"/>
      <c r="Y6" s="144"/>
      <c r="Z6" s="152">
        <v>50000</v>
      </c>
      <c r="AA6" s="31">
        <f t="shared" si="0"/>
        <v>250000</v>
      </c>
      <c r="AB6" s="4"/>
    </row>
    <row r="7" spans="1:28">
      <c r="A7" s="24" t="s">
        <v>14</v>
      </c>
      <c r="B7" s="174" t="s">
        <v>31</v>
      </c>
      <c r="C7" s="175"/>
      <c r="D7" s="176"/>
      <c r="E7" s="143" t="s">
        <v>24</v>
      </c>
      <c r="F7" s="144">
        <v>3500</v>
      </c>
      <c r="G7" s="144">
        <f>SUM(G5:G6)</f>
        <v>230</v>
      </c>
      <c r="H7" s="144">
        <f>F7*G7</f>
        <v>805000</v>
      </c>
      <c r="I7" s="203">
        <v>26</v>
      </c>
      <c r="J7" s="203">
        <v>786636</v>
      </c>
      <c r="K7" s="144">
        <f>K5+K6</f>
        <v>44</v>
      </c>
      <c r="L7" s="144">
        <f>F7*K7</f>
        <v>154000</v>
      </c>
      <c r="M7" s="203">
        <v>85</v>
      </c>
      <c r="N7" s="314">
        <v>366707</v>
      </c>
      <c r="O7" s="144">
        <f>SUM(O5:O6)</f>
        <v>88</v>
      </c>
      <c r="P7" s="144">
        <f>F7*O7</f>
        <v>308000</v>
      </c>
      <c r="Q7" s="203">
        <v>80</v>
      </c>
      <c r="R7" s="312">
        <v>440825</v>
      </c>
      <c r="S7" s="144">
        <f>S5+S6</f>
        <v>119</v>
      </c>
      <c r="T7" s="144">
        <f>F7*S7</f>
        <v>416500</v>
      </c>
      <c r="U7" s="203">
        <v>240</v>
      </c>
      <c r="V7" s="312">
        <v>996851</v>
      </c>
      <c r="W7">
        <f>SUM(W5:W6)</f>
        <v>81</v>
      </c>
      <c r="X7" s="144">
        <f>F7*W6</f>
        <v>224000</v>
      </c>
      <c r="Y7" s="203">
        <v>40</v>
      </c>
      <c r="Z7" s="312">
        <v>444430</v>
      </c>
      <c r="AA7" s="31">
        <f t="shared" si="0"/>
        <v>3035449</v>
      </c>
      <c r="AB7" s="4"/>
    </row>
    <row r="8" spans="1:28">
      <c r="A8" s="24" t="s">
        <v>17</v>
      </c>
      <c r="B8" s="174" t="s">
        <v>32</v>
      </c>
      <c r="C8" s="175"/>
      <c r="D8" s="176"/>
      <c r="E8" s="143" t="s">
        <v>24</v>
      </c>
      <c r="F8" s="144"/>
      <c r="G8" s="144"/>
      <c r="H8" s="144"/>
      <c r="I8" s="204"/>
      <c r="J8" s="204"/>
      <c r="K8" s="144"/>
      <c r="L8" s="144"/>
      <c r="M8" s="204"/>
      <c r="N8" s="315"/>
      <c r="O8" s="144"/>
      <c r="P8" s="144"/>
      <c r="Q8" s="204"/>
      <c r="R8" s="313"/>
      <c r="S8" s="144"/>
      <c r="T8" s="144"/>
      <c r="U8" s="204"/>
      <c r="V8" s="313"/>
      <c r="W8" s="144"/>
      <c r="X8" s="144"/>
      <c r="Y8" s="204"/>
      <c r="Z8" s="313"/>
      <c r="AA8" s="31">
        <f t="shared" si="0"/>
        <v>0</v>
      </c>
      <c r="AB8" s="4"/>
    </row>
    <row r="9" spans="1:28">
      <c r="A9" s="24" t="s">
        <v>34</v>
      </c>
      <c r="B9" s="174" t="s">
        <v>35</v>
      </c>
      <c r="C9" s="175"/>
      <c r="D9" s="176"/>
      <c r="E9" s="32" t="s">
        <v>24</v>
      </c>
      <c r="F9" s="144">
        <v>2500</v>
      </c>
      <c r="G9" s="144"/>
      <c r="H9" s="144">
        <f>F9*G7</f>
        <v>575000</v>
      </c>
      <c r="I9" s="144"/>
      <c r="J9" s="149">
        <f>546064+47000</f>
        <v>593064</v>
      </c>
      <c r="K9" s="144"/>
      <c r="L9" s="144">
        <f>F9*K7</f>
        <v>110000</v>
      </c>
      <c r="M9" s="144">
        <v>350</v>
      </c>
      <c r="N9" s="149">
        <f>93000+359866</f>
        <v>452866</v>
      </c>
      <c r="O9" s="144"/>
      <c r="Q9" s="144"/>
      <c r="R9" s="152">
        <f>26000+466827</f>
        <v>492827</v>
      </c>
      <c r="S9" s="144"/>
      <c r="T9" s="144"/>
      <c r="U9" s="144"/>
      <c r="V9" s="152">
        <f>50000+509512</f>
        <v>559512</v>
      </c>
      <c r="W9" s="144"/>
      <c r="X9" s="144"/>
      <c r="Y9" s="144"/>
      <c r="Z9" s="152">
        <f>18200+415906</f>
        <v>434106</v>
      </c>
      <c r="AA9" s="31">
        <f t="shared" si="0"/>
        <v>2532375</v>
      </c>
      <c r="AB9" s="4"/>
    </row>
    <row r="10" spans="1:28">
      <c r="A10" s="24" t="s">
        <v>36</v>
      </c>
      <c r="B10" s="174" t="s">
        <v>37</v>
      </c>
      <c r="C10" s="175"/>
      <c r="D10" s="176"/>
      <c r="E10" s="32" t="s">
        <v>24</v>
      </c>
      <c r="F10" s="144">
        <v>1000</v>
      </c>
      <c r="G10" s="144"/>
      <c r="H10" s="144">
        <f>F10*G7</f>
        <v>230000</v>
      </c>
      <c r="I10" s="144"/>
      <c r="J10" s="149">
        <v>130000</v>
      </c>
      <c r="K10" s="144"/>
      <c r="L10" s="144">
        <f>K10*F10</f>
        <v>0</v>
      </c>
      <c r="M10" s="144"/>
      <c r="N10" s="149">
        <v>60000</v>
      </c>
      <c r="O10" s="144"/>
      <c r="Q10" s="144"/>
      <c r="R10" s="152">
        <v>120000</v>
      </c>
      <c r="S10" s="144"/>
      <c r="T10" s="144">
        <f>S10*F10</f>
        <v>0</v>
      </c>
      <c r="U10" s="144"/>
      <c r="V10" s="152">
        <v>200000</v>
      </c>
      <c r="W10" s="144"/>
      <c r="X10" s="144"/>
      <c r="Y10" s="144"/>
      <c r="Z10" s="152">
        <v>70000</v>
      </c>
      <c r="AA10" s="31">
        <f t="shared" si="0"/>
        <v>580000</v>
      </c>
      <c r="AB10" s="4"/>
    </row>
    <row r="11" spans="1:28">
      <c r="A11" s="24" t="s">
        <v>38</v>
      </c>
      <c r="B11" s="174" t="s">
        <v>39</v>
      </c>
      <c r="C11" s="175"/>
      <c r="D11" s="176"/>
      <c r="E11" s="32" t="s">
        <v>24</v>
      </c>
      <c r="F11" s="144">
        <v>2500</v>
      </c>
      <c r="G11" s="144"/>
      <c r="H11" s="144">
        <f>G11*F11</f>
        <v>0</v>
      </c>
      <c r="I11" s="144"/>
      <c r="J11" s="149">
        <v>153480</v>
      </c>
      <c r="K11" s="144"/>
      <c r="L11" s="144">
        <f>K10*F11</f>
        <v>0</v>
      </c>
      <c r="M11" s="144"/>
      <c r="N11" s="149">
        <v>72000</v>
      </c>
      <c r="O11" s="144"/>
      <c r="Q11" s="144"/>
      <c r="R11" s="152">
        <v>187000</v>
      </c>
      <c r="S11" s="144"/>
      <c r="T11" s="144">
        <f>S10*F11</f>
        <v>0</v>
      </c>
      <c r="U11" s="144"/>
      <c r="V11" s="152">
        <v>245036</v>
      </c>
      <c r="W11" s="144"/>
      <c r="X11" s="144"/>
      <c r="Y11" s="144"/>
      <c r="Z11" s="152">
        <v>121000</v>
      </c>
      <c r="AA11" s="31">
        <f t="shared" si="0"/>
        <v>778516</v>
      </c>
      <c r="AB11" s="4"/>
    </row>
    <row r="12" spans="1:28">
      <c r="A12" s="138" t="s">
        <v>40</v>
      </c>
      <c r="B12" s="177" t="s">
        <v>41</v>
      </c>
      <c r="C12" s="178"/>
      <c r="D12" s="179"/>
      <c r="E12" s="141" t="s">
        <v>24</v>
      </c>
      <c r="F12" s="35"/>
      <c r="G12" s="35"/>
      <c r="H12" s="35"/>
      <c r="I12" s="35"/>
      <c r="J12" s="150">
        <v>4452646</v>
      </c>
      <c r="K12" s="35"/>
      <c r="L12" s="35"/>
      <c r="M12" s="35"/>
      <c r="N12" s="150">
        <v>64058</v>
      </c>
      <c r="O12" s="35"/>
      <c r="Q12" s="35"/>
      <c r="R12" s="153">
        <v>7339</v>
      </c>
      <c r="S12" s="35"/>
      <c r="T12" s="35"/>
      <c r="U12" s="35"/>
      <c r="V12" s="153">
        <v>5851037</v>
      </c>
      <c r="W12" s="35"/>
      <c r="X12" s="35"/>
      <c r="Y12" s="35"/>
      <c r="Z12" s="153">
        <v>62790</v>
      </c>
      <c r="AA12" s="31">
        <f t="shared" si="0"/>
        <v>10437870</v>
      </c>
      <c r="AB12" s="4"/>
    </row>
    <row r="13" spans="1:28">
      <c r="A13" s="24" t="s">
        <v>42</v>
      </c>
      <c r="B13" s="181" t="s">
        <v>43</v>
      </c>
      <c r="C13" s="182"/>
      <c r="D13" s="183"/>
      <c r="E13" s="32" t="s">
        <v>24</v>
      </c>
      <c r="F13" s="144"/>
      <c r="G13" s="144"/>
      <c r="H13" s="144"/>
      <c r="I13" s="144"/>
      <c r="J13" s="144"/>
      <c r="K13" s="144"/>
      <c r="L13" s="144"/>
      <c r="M13" s="144"/>
      <c r="N13" s="144"/>
      <c r="O13" s="144"/>
      <c r="Q13" s="144"/>
      <c r="R13" s="31"/>
      <c r="S13" s="144"/>
      <c r="T13" s="144"/>
      <c r="U13" s="144"/>
      <c r="V13" s="31"/>
      <c r="W13" s="144"/>
      <c r="X13" s="144"/>
      <c r="Y13" s="144"/>
      <c r="Z13" s="31"/>
      <c r="AA13" s="31">
        <f t="shared" si="0"/>
        <v>0</v>
      </c>
      <c r="AB13" s="4"/>
    </row>
    <row r="14" spans="1:28">
      <c r="A14" s="26" t="s">
        <v>44</v>
      </c>
      <c r="B14" s="181" t="s">
        <v>45</v>
      </c>
      <c r="C14" s="182"/>
      <c r="D14" s="183"/>
      <c r="E14" s="32" t="s">
        <v>24</v>
      </c>
      <c r="F14" s="144"/>
      <c r="G14" s="144"/>
      <c r="H14" s="144"/>
      <c r="I14" s="144"/>
      <c r="J14" s="149">
        <v>14040</v>
      </c>
      <c r="K14" s="144"/>
      <c r="L14" s="144"/>
      <c r="M14" s="144"/>
      <c r="N14" s="149">
        <v>56160</v>
      </c>
      <c r="O14" s="144"/>
      <c r="Q14" s="144"/>
      <c r="R14" s="152">
        <v>10800</v>
      </c>
      <c r="S14" s="144"/>
      <c r="T14" s="144"/>
      <c r="U14" s="144"/>
      <c r="V14" s="152">
        <v>36720</v>
      </c>
      <c r="W14" s="144"/>
      <c r="X14" s="144"/>
      <c r="Y14" s="144"/>
      <c r="Z14" s="31"/>
      <c r="AA14" s="31">
        <f t="shared" si="0"/>
        <v>117720</v>
      </c>
      <c r="AB14" s="4"/>
    </row>
    <row r="15" spans="1:28">
      <c r="A15" s="26">
        <v>11</v>
      </c>
      <c r="B15" s="180" t="s">
        <v>46</v>
      </c>
      <c r="C15" s="180"/>
      <c r="D15" s="180"/>
      <c r="E15" s="32" t="s">
        <v>24</v>
      </c>
      <c r="F15" s="144">
        <v>100</v>
      </c>
      <c r="G15" s="144"/>
      <c r="H15" s="144"/>
      <c r="I15" s="144"/>
      <c r="J15" s="149">
        <v>12752</v>
      </c>
      <c r="K15" s="144"/>
      <c r="L15" s="144"/>
      <c r="M15" s="144"/>
      <c r="N15" s="149">
        <v>5846</v>
      </c>
      <c r="O15" s="144"/>
      <c r="Q15" s="144"/>
      <c r="R15" s="152">
        <v>7773</v>
      </c>
      <c r="S15" s="144"/>
      <c r="T15" s="144"/>
      <c r="U15" s="144"/>
      <c r="V15" s="152">
        <v>8394</v>
      </c>
      <c r="W15" s="144"/>
      <c r="X15" s="144"/>
      <c r="Y15" s="144"/>
      <c r="Z15" s="152">
        <v>5070</v>
      </c>
      <c r="AA15" s="31">
        <f t="shared" si="0"/>
        <v>39835</v>
      </c>
      <c r="AB15" s="4"/>
    </row>
    <row r="16" spans="1:28">
      <c r="A16" s="26" t="s">
        <v>49</v>
      </c>
      <c r="B16" s="181" t="s">
        <v>52</v>
      </c>
      <c r="C16" s="182"/>
      <c r="D16" s="183"/>
      <c r="E16" s="32" t="s">
        <v>24</v>
      </c>
      <c r="F16" s="144"/>
      <c r="G16" s="144"/>
      <c r="H16" s="144"/>
      <c r="I16" s="144"/>
      <c r="J16" s="149">
        <f>7319095+2210367</f>
        <v>9529462</v>
      </c>
      <c r="K16" s="144"/>
      <c r="L16" s="144"/>
      <c r="M16" s="144"/>
      <c r="N16" s="149">
        <f>3636058+1098090</f>
        <v>4734148</v>
      </c>
      <c r="O16" s="144"/>
      <c r="P16" s="144"/>
      <c r="Q16" s="144"/>
      <c r="R16" s="152">
        <v>5278007</v>
      </c>
      <c r="S16" s="144"/>
      <c r="T16" s="144"/>
      <c r="U16" s="144"/>
      <c r="V16" s="152">
        <v>7642986</v>
      </c>
      <c r="W16" s="144"/>
      <c r="X16" s="144"/>
      <c r="Y16" s="144"/>
      <c r="Z16" s="152">
        <v>4429661</v>
      </c>
      <c r="AA16" s="31">
        <f t="shared" si="0"/>
        <v>31614264</v>
      </c>
      <c r="AB16" s="4"/>
    </row>
    <row r="17" spans="1:28">
      <c r="A17" s="26" t="s">
        <v>50</v>
      </c>
      <c r="B17" s="181" t="s">
        <v>51</v>
      </c>
      <c r="C17" s="182"/>
      <c r="D17" s="183"/>
      <c r="E17" s="32" t="s">
        <v>24</v>
      </c>
      <c r="F17" s="144"/>
      <c r="G17" s="144"/>
      <c r="H17" s="144"/>
      <c r="I17" s="144"/>
      <c r="J17" s="149">
        <v>4388826</v>
      </c>
      <c r="K17" s="144"/>
      <c r="L17" s="144"/>
      <c r="M17" s="144"/>
      <c r="N17" s="149">
        <v>1978801</v>
      </c>
      <c r="O17" s="144"/>
      <c r="P17" s="144"/>
      <c r="Q17" s="144"/>
      <c r="R17" s="62">
        <v>939788</v>
      </c>
      <c r="S17" s="144"/>
      <c r="T17" s="144"/>
      <c r="U17" s="144"/>
      <c r="V17" s="152">
        <v>3057407</v>
      </c>
      <c r="W17" s="144"/>
      <c r="X17" s="144"/>
      <c r="Y17" s="144"/>
      <c r="Z17" s="31">
        <v>1534616</v>
      </c>
      <c r="AA17" s="31">
        <f t="shared" si="0"/>
        <v>11899438</v>
      </c>
      <c r="AB17" s="4"/>
    </row>
    <row r="18" spans="1:28">
      <c r="A18" s="307" t="s">
        <v>115</v>
      </c>
      <c r="B18" s="307"/>
      <c r="C18" s="307"/>
      <c r="D18" s="307"/>
      <c r="E18" s="119"/>
      <c r="F18" s="120"/>
      <c r="G18" s="120"/>
      <c r="H18" s="120"/>
      <c r="I18" s="120"/>
      <c r="J18" s="120">
        <f>SUM(J5:J17)</f>
        <v>21314782</v>
      </c>
      <c r="K18" s="120"/>
      <c r="L18" s="120"/>
      <c r="M18" s="120"/>
      <c r="N18" s="120">
        <f>SUM(N5:N17)</f>
        <v>8213932</v>
      </c>
      <c r="O18" s="120"/>
      <c r="P18" s="120"/>
      <c r="Q18" s="120"/>
      <c r="R18" s="121">
        <f>SUM(R5:R17)</f>
        <v>8180906</v>
      </c>
      <c r="S18" s="120"/>
      <c r="T18" s="120"/>
      <c r="U18" s="120"/>
      <c r="V18" s="121">
        <f>SUM(V5:V17)</f>
        <v>19290829</v>
      </c>
      <c r="W18" s="120"/>
      <c r="X18" s="120"/>
      <c r="Y18" s="120"/>
      <c r="Z18" s="120">
        <f>SUM(Z5:Z17)</f>
        <v>7481871</v>
      </c>
      <c r="AA18" s="38">
        <f t="shared" si="0"/>
        <v>64482320</v>
      </c>
      <c r="AB18" s="4"/>
    </row>
    <row r="19" spans="1:28">
      <c r="A19" s="39"/>
      <c r="B19" s="40" t="s">
        <v>62</v>
      </c>
      <c r="C19" s="40"/>
      <c r="D19" s="40"/>
      <c r="E19" s="41"/>
      <c r="F19" s="42"/>
      <c r="G19" s="42"/>
      <c r="H19" s="42"/>
      <c r="I19" s="42"/>
      <c r="J19" s="67">
        <f>J18/(G5+G6)</f>
        <v>92672.965217391305</v>
      </c>
      <c r="K19" s="42"/>
      <c r="L19" s="42"/>
      <c r="M19" s="42"/>
      <c r="N19" s="67">
        <f>N18/K7</f>
        <v>186680.27272727274</v>
      </c>
      <c r="O19" s="42"/>
      <c r="P19" s="42"/>
      <c r="Q19" s="42"/>
      <c r="R19" s="67">
        <f>R18/O5</f>
        <v>481229.76470588235</v>
      </c>
      <c r="S19" s="42"/>
      <c r="T19" s="42"/>
      <c r="U19" s="42"/>
      <c r="V19" s="42">
        <f>V18/S5</f>
        <v>419365.84782608697</v>
      </c>
      <c r="W19" s="42"/>
      <c r="X19" s="42"/>
      <c r="Y19" s="42"/>
      <c r="Z19" s="42">
        <f>Z18/W5</f>
        <v>440110.0588235294</v>
      </c>
      <c r="AA19" s="42"/>
    </row>
    <row r="20" spans="1:28">
      <c r="A20" s="39"/>
      <c r="B20" s="40"/>
      <c r="C20" s="40"/>
      <c r="D20" s="40"/>
      <c r="E20" s="41"/>
      <c r="F20" s="42"/>
      <c r="G20" s="42"/>
      <c r="H20" s="42"/>
      <c r="I20" s="42"/>
      <c r="J20" s="67"/>
      <c r="K20" s="42"/>
      <c r="L20" s="42"/>
      <c r="M20" s="42"/>
      <c r="N20" s="67"/>
      <c r="O20" s="42"/>
      <c r="P20" s="42"/>
      <c r="Q20" s="42"/>
      <c r="R20" s="67"/>
      <c r="S20" s="42"/>
      <c r="T20" s="42"/>
      <c r="U20" s="42"/>
      <c r="V20" s="42"/>
      <c r="W20" s="42"/>
      <c r="X20" s="42"/>
      <c r="Y20" s="42"/>
      <c r="Z20" s="42"/>
      <c r="AA20" s="42"/>
    </row>
    <row r="21" spans="1:28" ht="16.5">
      <c r="A21" s="30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162" t="s">
        <v>182</v>
      </c>
      <c r="N21" s="30"/>
      <c r="O21" s="30"/>
      <c r="P21" s="67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</row>
    <row r="22" spans="1:28">
      <c r="A22" s="39"/>
      <c r="B22" s="40"/>
      <c r="C22" s="40"/>
      <c r="D22" s="40"/>
      <c r="E22" s="41"/>
      <c r="F22" s="42"/>
      <c r="G22" s="42"/>
      <c r="H22" s="42"/>
      <c r="I22" s="42"/>
      <c r="J22" s="42"/>
      <c r="K22" s="42"/>
      <c r="L22" s="4" t="s">
        <v>217</v>
      </c>
      <c r="M22" s="4"/>
      <c r="N22" s="30"/>
      <c r="O22" s="30"/>
      <c r="P22" s="67"/>
      <c r="Q22" s="80"/>
      <c r="R22" s="80"/>
      <c r="S22" s="80"/>
      <c r="T22" s="80"/>
      <c r="U22" s="10"/>
      <c r="V22" s="42"/>
      <c r="W22" s="42"/>
      <c r="X22" s="42"/>
      <c r="Y22" s="42"/>
      <c r="Z22" s="42"/>
      <c r="AA22" s="42"/>
      <c r="AB22" s="10"/>
    </row>
    <row r="23" spans="1:28" ht="30">
      <c r="A23" s="236" t="s">
        <v>196</v>
      </c>
      <c r="B23" s="237"/>
      <c r="C23" s="237"/>
      <c r="D23" s="237"/>
      <c r="E23" s="237"/>
      <c r="F23" s="237"/>
      <c r="G23" s="237"/>
      <c r="H23" s="237"/>
      <c r="I23" s="238"/>
      <c r="J23" s="18" t="s">
        <v>99</v>
      </c>
      <c r="K23" s="18" t="s">
        <v>100</v>
      </c>
      <c r="L23" s="18" t="s">
        <v>101</v>
      </c>
      <c r="M23" s="18" t="s">
        <v>102</v>
      </c>
      <c r="N23" s="18" t="s">
        <v>103</v>
      </c>
      <c r="O23" s="18" t="s">
        <v>93</v>
      </c>
      <c r="P23" s="83"/>
      <c r="Q23" s="1"/>
      <c r="R23" s="1"/>
      <c r="S23" s="1"/>
      <c r="T23" s="1"/>
      <c r="V23" s="42"/>
      <c r="W23" s="42"/>
      <c r="X23" s="42"/>
      <c r="Y23" s="42"/>
      <c r="Z23" s="42"/>
      <c r="AA23" s="42"/>
    </row>
    <row r="24" spans="1:28">
      <c r="A24" s="251" t="s">
        <v>118</v>
      </c>
      <c r="B24" s="252"/>
      <c r="C24" s="252"/>
      <c r="D24" s="252"/>
      <c r="E24" s="252"/>
      <c r="F24" s="252"/>
      <c r="G24" s="252"/>
      <c r="H24" s="252"/>
      <c r="I24" s="252"/>
      <c r="J24" s="252"/>
      <c r="K24" s="252"/>
      <c r="L24" s="252"/>
      <c r="M24" s="252"/>
      <c r="N24" s="252"/>
      <c r="O24" s="253"/>
      <c r="P24" s="83"/>
      <c r="Q24" s="1"/>
      <c r="R24" s="1"/>
      <c r="S24" s="1"/>
      <c r="T24" s="1"/>
      <c r="V24" s="42"/>
      <c r="W24" s="42"/>
      <c r="X24" s="67"/>
      <c r="Y24" s="42"/>
      <c r="Z24" s="42"/>
      <c r="AA24" s="42"/>
    </row>
    <row r="25" spans="1:28">
      <c r="A25" s="236" t="s">
        <v>119</v>
      </c>
      <c r="B25" s="237"/>
      <c r="C25" s="237"/>
      <c r="D25" s="237"/>
      <c r="E25" s="237"/>
      <c r="F25" s="237"/>
      <c r="G25" s="237"/>
      <c r="H25" s="237"/>
      <c r="I25" s="238"/>
      <c r="J25" s="65">
        <f>J26+J27+J29</f>
        <v>265225.09565217391</v>
      </c>
      <c r="K25" s="65">
        <f>K26+K27+K29</f>
        <v>182399.45454545453</v>
      </c>
      <c r="L25" s="65">
        <f>L26+L28+L29</f>
        <v>197455</v>
      </c>
      <c r="M25" s="65">
        <f t="shared" ref="M25:N25" si="1">M26+M27+M29</f>
        <v>457308.03361344541</v>
      </c>
      <c r="N25" s="65">
        <f t="shared" si="1"/>
        <v>120945.13580246914</v>
      </c>
      <c r="O25" s="65">
        <f>SUM(J25:N25)</f>
        <v>1223332.719613543</v>
      </c>
      <c r="P25" s="84"/>
      <c r="Q25" s="1"/>
      <c r="V25" s="42"/>
      <c r="W25" s="42"/>
      <c r="X25" s="42"/>
      <c r="Y25" s="42"/>
      <c r="Z25" s="42"/>
      <c r="AA25" s="42"/>
    </row>
    <row r="26" spans="1:28">
      <c r="A26" s="248" t="s">
        <v>120</v>
      </c>
      <c r="B26" s="249"/>
      <c r="C26" s="249"/>
      <c r="D26" s="249"/>
      <c r="E26" s="249"/>
      <c r="F26" s="249"/>
      <c r="G26" s="249"/>
      <c r="H26" s="249"/>
      <c r="I26" s="250"/>
      <c r="J26" s="3"/>
      <c r="K26" s="3"/>
      <c r="L26" s="3"/>
      <c r="M26" s="3"/>
      <c r="N26" s="3"/>
      <c r="O26" s="65">
        <f t="shared" ref="O26:O42" si="2">SUM(J26:N26)</f>
        <v>0</v>
      </c>
      <c r="P26" s="84"/>
      <c r="Q26" s="1"/>
      <c r="V26" s="42"/>
      <c r="W26" s="42"/>
      <c r="X26" s="42"/>
      <c r="Y26" s="42"/>
      <c r="Z26" s="42"/>
      <c r="AA26" s="42"/>
    </row>
    <row r="27" spans="1:28">
      <c r="A27" s="164" t="s">
        <v>121</v>
      </c>
      <c r="B27" s="227"/>
      <c r="C27" s="227"/>
      <c r="D27" s="227"/>
      <c r="E27" s="227"/>
      <c r="F27" s="227"/>
      <c r="G27" s="227"/>
      <c r="H27" s="227"/>
      <c r="I27" s="165"/>
      <c r="J27" s="13">
        <f>J28</f>
        <v>50449.043478260865</v>
      </c>
      <c r="K27" s="13">
        <f>K28</f>
        <v>55592.727272727265</v>
      </c>
      <c r="L27" s="13">
        <f>266457.01+37241.38+2482.76</f>
        <v>306181.15000000002</v>
      </c>
      <c r="M27" s="13">
        <f t="shared" ref="M27:N27" si="3">M28</f>
        <v>186225.00840336137</v>
      </c>
      <c r="N27" s="13">
        <f t="shared" si="3"/>
        <v>40086.419753086418</v>
      </c>
      <c r="O27" s="65">
        <f t="shared" si="2"/>
        <v>638534.34890743589</v>
      </c>
      <c r="P27" s="85"/>
      <c r="Q27" s="1"/>
      <c r="V27" s="10"/>
      <c r="W27" s="10"/>
      <c r="X27" s="10"/>
      <c r="Y27" s="10"/>
      <c r="Z27" s="10"/>
      <c r="AA27" s="10"/>
    </row>
    <row r="28" spans="1:28">
      <c r="A28" s="233" t="s">
        <v>122</v>
      </c>
      <c r="B28" s="234"/>
      <c r="C28" s="234"/>
      <c r="D28" s="234"/>
      <c r="E28" s="234"/>
      <c r="F28" s="234"/>
      <c r="G28" s="234"/>
      <c r="H28" s="234"/>
      <c r="I28" s="235"/>
      <c r="J28" s="13">
        <f>(J10+J11+J14)/G7*G5</f>
        <v>50449.043478260865</v>
      </c>
      <c r="K28" s="13">
        <f>(N10+N11+N14)/K7*K5</f>
        <v>55592.727272727265</v>
      </c>
      <c r="L28" s="13">
        <f>(R10+R11+R14)/O7*O5</f>
        <v>61393.181818181823</v>
      </c>
      <c r="M28" s="13">
        <f>(V10+V11+V14)/S7*S5</f>
        <v>186225.00840336137</v>
      </c>
      <c r="N28" s="13">
        <f>(Z10+Z11)/W7*W5</f>
        <v>40086.419753086418</v>
      </c>
      <c r="O28" s="65">
        <f t="shared" si="2"/>
        <v>393746.38072561775</v>
      </c>
      <c r="P28" s="85"/>
      <c r="Q28" s="91"/>
      <c r="V28" s="10"/>
      <c r="W28" s="10"/>
      <c r="X28" s="10"/>
      <c r="Y28" s="10"/>
      <c r="Z28" s="10"/>
      <c r="AA28" s="10"/>
    </row>
    <row r="29" spans="1:28">
      <c r="A29" s="164" t="s">
        <v>123</v>
      </c>
      <c r="B29" s="227"/>
      <c r="C29" s="227"/>
      <c r="D29" s="227"/>
      <c r="E29" s="227"/>
      <c r="F29" s="227"/>
      <c r="G29" s="227"/>
      <c r="H29" s="227"/>
      <c r="I29" s="165"/>
      <c r="J29" s="13">
        <f>(J5+J6+J15)/G7*G5</f>
        <v>214776.05217391305</v>
      </c>
      <c r="K29" s="13">
        <f>(N5+N6+N15)/K7*K5</f>
        <v>126806.72727272726</v>
      </c>
      <c r="L29" s="13">
        <f>(R5+R6+R15)/O7*O5</f>
        <v>136061.81818181818</v>
      </c>
      <c r="M29" s="9">
        <f>(V5+V6+V15)/S7*S5</f>
        <v>271083.02521008404</v>
      </c>
      <c r="N29" s="13">
        <f>(Z5+Z6+Z15)/W7*W5</f>
        <v>80858.716049382725</v>
      </c>
      <c r="O29" s="65">
        <f t="shared" si="2"/>
        <v>829586.33888792526</v>
      </c>
      <c r="P29" s="85"/>
      <c r="Q29" s="91"/>
    </row>
    <row r="30" spans="1:28">
      <c r="A30" s="230" t="s">
        <v>124</v>
      </c>
      <c r="B30" s="231"/>
      <c r="C30" s="231"/>
      <c r="D30" s="231"/>
      <c r="E30" s="231"/>
      <c r="F30" s="231"/>
      <c r="G30" s="231"/>
      <c r="H30" s="231"/>
      <c r="I30" s="232"/>
      <c r="J30" s="65">
        <f>J31+J32+J38+J40</f>
        <v>3349020.5478260862</v>
      </c>
      <c r="K30" s="65">
        <f t="shared" ref="K30:N30" si="4">K31+K32+K38+K40</f>
        <v>2244444.0909090908</v>
      </c>
      <c r="L30" s="65">
        <f t="shared" si="4"/>
        <v>1382947.2954545456</v>
      </c>
      <c r="M30" s="65">
        <f>M31+M32+M38+M40</f>
        <v>6999651.0756302522</v>
      </c>
      <c r="N30" s="65">
        <f t="shared" si="4"/>
        <v>1449324.0864197533</v>
      </c>
      <c r="O30" s="65">
        <f t="shared" si="2"/>
        <v>15425387.096239729</v>
      </c>
      <c r="P30" s="86"/>
      <c r="Q30" s="23"/>
      <c r="R30" s="46"/>
      <c r="S30" s="46"/>
    </row>
    <row r="31" spans="1:28">
      <c r="A31" s="233" t="s">
        <v>125</v>
      </c>
      <c r="B31" s="234"/>
      <c r="C31" s="234"/>
      <c r="D31" s="234"/>
      <c r="E31" s="234"/>
      <c r="F31" s="234"/>
      <c r="G31" s="234"/>
      <c r="H31" s="234"/>
      <c r="I31" s="235"/>
      <c r="J31" s="64">
        <f>J16/G7*G5</f>
        <v>1615865.2956521737</v>
      </c>
      <c r="K31" s="64">
        <f>N16/K7*K5</f>
        <v>1398725.5454545454</v>
      </c>
      <c r="L31" s="64">
        <f>R16/O7*O5</f>
        <v>1019614.9886363636</v>
      </c>
      <c r="M31" s="64">
        <f>V16/S7*S5</f>
        <v>2954431.5630252101</v>
      </c>
      <c r="N31" s="64">
        <f>Z16/W7*W5</f>
        <v>929681.93827160494</v>
      </c>
      <c r="O31" s="65">
        <f t="shared" si="2"/>
        <v>7918319.3310398981</v>
      </c>
      <c r="P31" s="86"/>
      <c r="Q31" s="23"/>
      <c r="R31" s="46"/>
      <c r="S31" s="46"/>
    </row>
    <row r="32" spans="1:28">
      <c r="A32" s="164" t="s">
        <v>126</v>
      </c>
      <c r="B32" s="227"/>
      <c r="C32" s="227"/>
      <c r="D32" s="227"/>
      <c r="E32" s="227"/>
      <c r="F32" s="227"/>
      <c r="G32" s="227"/>
      <c r="H32" s="227"/>
      <c r="I32" s="165"/>
      <c r="J32" s="64">
        <f>SUM(J33:J35)</f>
        <v>511967.97260869568</v>
      </c>
      <c r="K32" s="64">
        <f t="shared" ref="K32:N32" si="5">SUM(K33:K35)</f>
        <v>533310.10909090913</v>
      </c>
      <c r="L32" s="64">
        <f t="shared" si="5"/>
        <v>163394.95909090911</v>
      </c>
      <c r="M32" s="64">
        <f t="shared" si="5"/>
        <v>885678.78151260503</v>
      </c>
      <c r="N32" s="64">
        <f t="shared" si="5"/>
        <v>202920.31111111111</v>
      </c>
      <c r="O32" s="65">
        <f t="shared" si="2"/>
        <v>2297272.1334142303</v>
      </c>
      <c r="P32" s="23"/>
      <c r="Q32" s="23"/>
      <c r="R32" s="46"/>
      <c r="S32" s="46"/>
    </row>
    <row r="33" spans="1:22">
      <c r="A33" s="164" t="s">
        <v>82</v>
      </c>
      <c r="B33" s="227"/>
      <c r="C33" s="227"/>
      <c r="D33" s="227"/>
      <c r="E33" s="227"/>
      <c r="F33" s="227"/>
      <c r="G33" s="227"/>
      <c r="H33" s="227"/>
      <c r="I33" s="165"/>
      <c r="J33" s="13">
        <f>(939567*90%)/G7*G5</f>
        <v>143386.09434782609</v>
      </c>
      <c r="K33" s="13">
        <f>(330117*90%)/K7*K5</f>
        <v>87781.111363636359</v>
      </c>
      <c r="L33" s="13">
        <f>(444816*90%)/O7*O5</f>
        <v>77337.327272727285</v>
      </c>
      <c r="M33" s="13">
        <f>(369780*90%)/S7*S5</f>
        <v>128646.15126050421</v>
      </c>
      <c r="N33" s="13">
        <f>(196439*90%)/W7*W5</f>
        <v>37105.144444444442</v>
      </c>
      <c r="O33" s="65">
        <f t="shared" si="2"/>
        <v>474255.82868913841</v>
      </c>
      <c r="P33" s="87"/>
      <c r="Q33" s="87"/>
      <c r="R33" s="46"/>
      <c r="S33" s="46"/>
    </row>
    <row r="34" spans="1:22">
      <c r="A34" s="164" t="s">
        <v>83</v>
      </c>
      <c r="B34" s="227"/>
      <c r="C34" s="227"/>
      <c r="D34" s="227"/>
      <c r="E34" s="227"/>
      <c r="F34" s="227"/>
      <c r="G34" s="227"/>
      <c r="H34" s="227"/>
      <c r="I34" s="165"/>
      <c r="J34" s="13">
        <f>(2551142*50%)/G7*G5</f>
        <v>216292.4739130435</v>
      </c>
      <c r="K34" s="13">
        <f>(1407397*90%)/K7*K5</f>
        <v>374239.6568181818</v>
      </c>
      <c r="L34" s="13">
        <f>(494972*90%)/O7*O5</f>
        <v>86057.631818181821</v>
      </c>
      <c r="M34" s="13">
        <f>(1458433*50%)/S7*S5</f>
        <v>281882.00840336137</v>
      </c>
      <c r="N34" s="13">
        <f>(1095607*50%)/W7*W5</f>
        <v>114971.1049382716</v>
      </c>
      <c r="O34" s="65">
        <f t="shared" si="2"/>
        <v>1073442.8758910401</v>
      </c>
      <c r="P34" s="11"/>
      <c r="Q34" s="11"/>
    </row>
    <row r="35" spans="1:22">
      <c r="A35" s="164" t="s">
        <v>84</v>
      </c>
      <c r="B35" s="227"/>
      <c r="C35" s="227"/>
      <c r="D35" s="227"/>
      <c r="E35" s="227"/>
      <c r="F35" s="227"/>
      <c r="G35" s="227"/>
      <c r="H35" s="227"/>
      <c r="I35" s="165"/>
      <c r="J35" s="13">
        <f>898117/G7*G5</f>
        <v>152289.40434782609</v>
      </c>
      <c r="K35" s="13">
        <f>241287/K7*K5</f>
        <v>71289.340909090912</v>
      </c>
      <c r="L35" s="13"/>
      <c r="M35" s="13">
        <f>1229194/S7*S5</f>
        <v>475150.62184873951</v>
      </c>
      <c r="N35" s="13">
        <f>242257/W7*W5</f>
        <v>50844.061728395063</v>
      </c>
      <c r="O35" s="65">
        <f t="shared" si="2"/>
        <v>749573.42883405159</v>
      </c>
      <c r="P35" s="11"/>
      <c r="Q35" s="11"/>
      <c r="V35" s="11"/>
    </row>
    <row r="36" spans="1:22">
      <c r="A36" s="164" t="s">
        <v>127</v>
      </c>
      <c r="B36" s="227"/>
      <c r="C36" s="227"/>
      <c r="D36" s="227"/>
      <c r="E36" s="227"/>
      <c r="F36" s="227"/>
      <c r="G36" s="227"/>
      <c r="H36" s="227"/>
      <c r="I36" s="165"/>
      <c r="J36" s="13"/>
      <c r="K36" s="13"/>
      <c r="L36" s="13"/>
      <c r="M36" s="13"/>
      <c r="N36" s="13"/>
      <c r="O36" s="65">
        <f t="shared" si="2"/>
        <v>0</v>
      </c>
      <c r="P36" s="11"/>
      <c r="Q36" s="11"/>
      <c r="T36" s="8"/>
    </row>
    <row r="37" spans="1:22">
      <c r="A37" s="164" t="s">
        <v>128</v>
      </c>
      <c r="B37" s="227"/>
      <c r="C37" s="227"/>
      <c r="D37" s="227"/>
      <c r="E37" s="227"/>
      <c r="F37" s="227"/>
      <c r="G37" s="227"/>
      <c r="H37" s="227"/>
      <c r="I37" s="165"/>
      <c r="J37" s="13"/>
      <c r="K37" s="13"/>
      <c r="L37" s="13"/>
      <c r="M37" s="13"/>
      <c r="N37" s="13"/>
      <c r="O37" s="65">
        <f t="shared" si="2"/>
        <v>0</v>
      </c>
    </row>
    <row r="38" spans="1:22">
      <c r="A38" s="228" t="s">
        <v>129</v>
      </c>
      <c r="B38" s="163"/>
      <c r="C38" s="163"/>
      <c r="D38" s="163"/>
      <c r="E38" s="163"/>
      <c r="F38" s="163"/>
      <c r="G38" s="163"/>
      <c r="H38" s="163"/>
      <c r="I38" s="229"/>
      <c r="J38" s="118">
        <f>J39</f>
        <v>184125.03</v>
      </c>
      <c r="K38" s="118">
        <f>K39</f>
        <v>122235.67</v>
      </c>
      <c r="L38" s="76">
        <f>L39</f>
        <v>101339.08</v>
      </c>
      <c r="M38" s="76">
        <f>M39</f>
        <v>474690.95</v>
      </c>
      <c r="N38" s="76">
        <f>N39</f>
        <v>103355.81</v>
      </c>
      <c r="O38" s="65">
        <f t="shared" si="2"/>
        <v>985746.54</v>
      </c>
      <c r="P38" s="71"/>
      <c r="Q38" s="10"/>
      <c r="R38" s="10"/>
      <c r="S38" s="10"/>
      <c r="T38" s="10"/>
    </row>
    <row r="39" spans="1:22">
      <c r="A39" s="233" t="s">
        <v>132</v>
      </c>
      <c r="B39" s="234"/>
      <c r="C39" s="234"/>
      <c r="D39" s="234"/>
      <c r="E39" s="234"/>
      <c r="F39" s="234"/>
      <c r="G39" s="234"/>
      <c r="H39" s="234"/>
      <c r="I39" s="235"/>
      <c r="J39" s="82">
        <f>184125.03</f>
        <v>184125.03</v>
      </c>
      <c r="K39" s="13">
        <f>122235.67</f>
        <v>122235.67</v>
      </c>
      <c r="L39" s="13">
        <v>101339.08</v>
      </c>
      <c r="M39" s="13">
        <v>474690.95</v>
      </c>
      <c r="N39" s="13">
        <f>103355.81</f>
        <v>103355.81</v>
      </c>
      <c r="O39" s="65">
        <f t="shared" si="2"/>
        <v>985746.54</v>
      </c>
      <c r="P39" s="71"/>
      <c r="Q39" s="10"/>
      <c r="R39" s="10"/>
      <c r="S39" s="10"/>
      <c r="T39" s="10"/>
    </row>
    <row r="40" spans="1:22">
      <c r="A40" s="164" t="s">
        <v>131</v>
      </c>
      <c r="B40" s="227"/>
      <c r="C40" s="227"/>
      <c r="D40" s="227"/>
      <c r="E40" s="227"/>
      <c r="F40" s="227"/>
      <c r="G40" s="227"/>
      <c r="H40" s="227"/>
      <c r="I40" s="165"/>
      <c r="J40" s="64">
        <f>J41</f>
        <v>1037062.2495652172</v>
      </c>
      <c r="K40" s="64">
        <f>K41</f>
        <v>190172.7663636363</v>
      </c>
      <c r="L40" s="64">
        <f>L41</f>
        <v>98598.267727272716</v>
      </c>
      <c r="M40" s="64">
        <f>M41</f>
        <v>2684849.781092437</v>
      </c>
      <c r="N40" s="64">
        <f>N41</f>
        <v>213366.02703703701</v>
      </c>
      <c r="O40" s="65">
        <f t="shared" si="2"/>
        <v>4224049.0917856004</v>
      </c>
      <c r="P40" s="71"/>
      <c r="Q40" s="10"/>
      <c r="R40" s="10"/>
      <c r="S40" s="71"/>
      <c r="T40" s="10"/>
    </row>
    <row r="41" spans="1:22">
      <c r="A41" s="233" t="s">
        <v>130</v>
      </c>
      <c r="B41" s="234"/>
      <c r="C41" s="234"/>
      <c r="D41" s="234"/>
      <c r="E41" s="234"/>
      <c r="F41" s="234"/>
      <c r="G41" s="234"/>
      <c r="H41" s="234"/>
      <c r="I41" s="235"/>
      <c r="J41" s="13">
        <f>(J7+J9+J17+J12)/G7*G5-J32-J38</f>
        <v>1037062.2495652172</v>
      </c>
      <c r="K41" s="13">
        <f>(N7+N9+N12+N17)/K7*K5-K32-K38</f>
        <v>190172.7663636363</v>
      </c>
      <c r="L41" s="13">
        <f>(R7+R9+R12+R17)/O7*O5-L32-L38</f>
        <v>98598.267727272716</v>
      </c>
      <c r="M41" s="13">
        <f>(V7+V9+V12+V17)/S7*S5-M32-M38</f>
        <v>2684849.781092437</v>
      </c>
      <c r="N41" s="13">
        <f>(Z7+Z9+Z12+Z17)/W7*W5-N32-N38</f>
        <v>213366.02703703701</v>
      </c>
      <c r="O41" s="65">
        <f t="shared" si="2"/>
        <v>4224049.0917856004</v>
      </c>
      <c r="P41" s="72"/>
      <c r="Q41" s="92"/>
      <c r="R41" s="10"/>
      <c r="S41" s="10"/>
      <c r="T41" s="10"/>
    </row>
    <row r="42" spans="1:22">
      <c r="A42" s="230" t="s">
        <v>93</v>
      </c>
      <c r="B42" s="231"/>
      <c r="C42" s="231"/>
      <c r="D42" s="231"/>
      <c r="E42" s="231"/>
      <c r="F42" s="231"/>
      <c r="G42" s="231"/>
      <c r="H42" s="231"/>
      <c r="I42" s="232"/>
      <c r="J42" s="81">
        <f>J25+J30</f>
        <v>3614245.6434782599</v>
      </c>
      <c r="K42" s="81">
        <f t="shared" ref="K42:N42" si="6">K25+K30</f>
        <v>2426843.5454545454</v>
      </c>
      <c r="L42" s="81">
        <f t="shared" si="6"/>
        <v>1580402.2954545456</v>
      </c>
      <c r="M42" s="81">
        <f t="shared" si="6"/>
        <v>7456959.1092436975</v>
      </c>
      <c r="N42" s="81">
        <f t="shared" si="6"/>
        <v>1570269.2222222225</v>
      </c>
      <c r="O42" s="65">
        <f t="shared" si="2"/>
        <v>16648719.81585327</v>
      </c>
      <c r="P42" s="10"/>
      <c r="Q42" s="10"/>
      <c r="R42" s="10"/>
      <c r="S42" s="10"/>
      <c r="T42" s="10"/>
    </row>
    <row r="43" spans="1:22">
      <c r="A43" s="245" t="s">
        <v>136</v>
      </c>
      <c r="B43" s="246"/>
      <c r="C43" s="246"/>
      <c r="D43" s="246"/>
      <c r="E43" s="246"/>
      <c r="F43" s="246"/>
      <c r="G43" s="246"/>
      <c r="H43" s="246"/>
      <c r="I43" s="247"/>
      <c r="J43" s="88">
        <f>J42/G5</f>
        <v>92672.965217391276</v>
      </c>
      <c r="K43" s="88">
        <f>K42/K5</f>
        <v>186680.27272727274</v>
      </c>
      <c r="L43" s="88">
        <f>L42/O5</f>
        <v>92964.840909090926</v>
      </c>
      <c r="M43" s="88">
        <f>M42/S5</f>
        <v>162107.80672268907</v>
      </c>
      <c r="N43" s="88">
        <f>N42/W5</f>
        <v>92368.777777777796</v>
      </c>
      <c r="O43" s="89"/>
      <c r="P43" s="10"/>
      <c r="Q43" s="10"/>
      <c r="R43" s="10"/>
      <c r="S43" s="10"/>
      <c r="T43" s="10"/>
    </row>
    <row r="44" spans="1:22" ht="16.5" customHeight="1">
      <c r="A44" s="1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</row>
    <row r="45" spans="1:22" ht="16.5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4"/>
      <c r="M45" s="162" t="s">
        <v>183</v>
      </c>
      <c r="N45" s="30"/>
      <c r="O45" s="30"/>
      <c r="P45" s="10"/>
      <c r="Q45" s="10"/>
      <c r="R45" s="10"/>
      <c r="S45" s="10"/>
      <c r="T45" s="10"/>
    </row>
    <row r="46" spans="1:22" ht="16.5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4" t="s">
        <v>217</v>
      </c>
      <c r="M46" s="162"/>
      <c r="N46" s="30"/>
      <c r="O46" s="30"/>
      <c r="P46" s="10"/>
      <c r="Q46" s="10"/>
      <c r="R46" s="10"/>
      <c r="S46" s="10"/>
      <c r="T46" s="10"/>
    </row>
    <row r="47" spans="1:22">
      <c r="A47" s="251" t="s">
        <v>133</v>
      </c>
      <c r="B47" s="252"/>
      <c r="C47" s="252"/>
      <c r="D47" s="252"/>
      <c r="E47" s="252"/>
      <c r="F47" s="252"/>
      <c r="G47" s="252"/>
      <c r="H47" s="252"/>
      <c r="I47" s="252"/>
      <c r="J47" s="252"/>
      <c r="K47" s="252"/>
      <c r="L47" s="252"/>
      <c r="M47" s="252"/>
      <c r="N47" s="252"/>
      <c r="O47" s="253"/>
      <c r="P47" s="10"/>
      <c r="Q47" s="10"/>
      <c r="R47" s="10"/>
      <c r="S47" s="10"/>
      <c r="T47" s="10"/>
    </row>
    <row r="48" spans="1:22">
      <c r="A48" s="236" t="s">
        <v>119</v>
      </c>
      <c r="B48" s="237"/>
      <c r="C48" s="237"/>
      <c r="D48" s="237"/>
      <c r="E48" s="237"/>
      <c r="F48" s="237"/>
      <c r="G48" s="237"/>
      <c r="H48" s="237"/>
      <c r="I48" s="238"/>
      <c r="J48" s="65">
        <f>J49+J51+J52</f>
        <v>1298922.904347826</v>
      </c>
      <c r="K48" s="65">
        <f>K49+K51+K52</f>
        <v>434952.54545454541</v>
      </c>
      <c r="L48" s="65">
        <f t="shared" ref="L48:N48" si="7">L49+L51+L52</f>
        <v>824665</v>
      </c>
      <c r="M48" s="65">
        <f t="shared" si="7"/>
        <v>725727.96638655465</v>
      </c>
      <c r="N48" s="65">
        <f t="shared" si="7"/>
        <v>455322.8641975309</v>
      </c>
      <c r="O48" s="65">
        <f>SUM(J48:N48)</f>
        <v>3739591.2803864572</v>
      </c>
      <c r="P48" s="10"/>
      <c r="Q48" s="10"/>
      <c r="R48" s="10"/>
      <c r="S48" s="10"/>
      <c r="T48" s="10"/>
    </row>
    <row r="49" spans="1:20">
      <c r="A49" s="248" t="s">
        <v>120</v>
      </c>
      <c r="B49" s="249"/>
      <c r="C49" s="249"/>
      <c r="D49" s="249"/>
      <c r="E49" s="249"/>
      <c r="F49" s="249"/>
      <c r="G49" s="249"/>
      <c r="H49" s="249"/>
      <c r="I49" s="250"/>
      <c r="J49" s="3"/>
      <c r="K49" s="3"/>
      <c r="L49" s="3"/>
      <c r="M49" s="3"/>
      <c r="N49" s="3"/>
      <c r="O49" s="65">
        <f t="shared" ref="O49:O65" si="8">SUM(J49:N49)</f>
        <v>0</v>
      </c>
      <c r="P49" s="10"/>
      <c r="Q49" s="10"/>
      <c r="R49" s="10"/>
      <c r="S49" s="71"/>
      <c r="T49" s="71"/>
    </row>
    <row r="50" spans="1:20">
      <c r="A50" s="164" t="s">
        <v>121</v>
      </c>
      <c r="B50" s="227"/>
      <c r="C50" s="227"/>
      <c r="D50" s="227"/>
      <c r="E50" s="227"/>
      <c r="F50" s="227"/>
      <c r="G50" s="227"/>
      <c r="H50" s="227"/>
      <c r="I50" s="165"/>
      <c r="J50" s="13">
        <f>J51</f>
        <v>247070.95652173911</v>
      </c>
      <c r="K50" s="13">
        <f t="shared" ref="K50:N50" si="9">K51</f>
        <v>132567.27272727271</v>
      </c>
      <c r="L50" s="13">
        <f t="shared" si="9"/>
        <v>256406.81818181818</v>
      </c>
      <c r="M50" s="13">
        <f t="shared" si="9"/>
        <v>295530.99159663869</v>
      </c>
      <c r="N50" s="13">
        <f t="shared" si="9"/>
        <v>150913.58024691357</v>
      </c>
      <c r="O50" s="65">
        <f t="shared" si="8"/>
        <v>1082489.6192743822</v>
      </c>
      <c r="P50" s="10"/>
      <c r="Q50" s="10"/>
      <c r="R50" s="10"/>
      <c r="S50" s="10"/>
      <c r="T50" s="10"/>
    </row>
    <row r="51" spans="1:20">
      <c r="A51" s="233" t="s">
        <v>122</v>
      </c>
      <c r="B51" s="234"/>
      <c r="C51" s="234"/>
      <c r="D51" s="234"/>
      <c r="E51" s="234"/>
      <c r="F51" s="234"/>
      <c r="G51" s="234"/>
      <c r="H51" s="234"/>
      <c r="I51" s="235"/>
      <c r="J51" s="13">
        <f>(J10+J11+J14)/G7*G6</f>
        <v>247070.95652173911</v>
      </c>
      <c r="K51" s="13">
        <f>(N10+N11+N14)/K7*K6</f>
        <v>132567.27272727271</v>
      </c>
      <c r="L51" s="13">
        <f>(R10+R11+R14)/O7*O6</f>
        <v>256406.81818181818</v>
      </c>
      <c r="M51" s="13">
        <f>(V10+V11+V14)/S7*S6</f>
        <v>295530.99159663869</v>
      </c>
      <c r="N51" s="13">
        <f>(Z10+Z11)/W7*W6</f>
        <v>150913.58024691357</v>
      </c>
      <c r="O51" s="65">
        <f t="shared" si="8"/>
        <v>1082489.6192743822</v>
      </c>
      <c r="P51" s="10"/>
      <c r="Q51" s="10"/>
      <c r="R51" s="10"/>
      <c r="S51" s="10"/>
      <c r="T51" s="10"/>
    </row>
    <row r="52" spans="1:20">
      <c r="A52" s="164" t="s">
        <v>123</v>
      </c>
      <c r="B52" s="227"/>
      <c r="C52" s="227"/>
      <c r="D52" s="227"/>
      <c r="E52" s="227"/>
      <c r="F52" s="227"/>
      <c r="G52" s="227"/>
      <c r="H52" s="227"/>
      <c r="I52" s="165"/>
      <c r="J52" s="13">
        <f>(J5+J6+J15)/G7*G6</f>
        <v>1051851.947826087</v>
      </c>
      <c r="K52" s="13">
        <f>(N5+N6+N15)/K7*K6</f>
        <v>302385.27272727271</v>
      </c>
      <c r="L52" s="13">
        <f>(R5+R6+R15)/O7*O6</f>
        <v>568258.18181818188</v>
      </c>
      <c r="M52" s="13">
        <f>(V5+V6+V15)/S7*S6</f>
        <v>430196.97478991596</v>
      </c>
      <c r="N52" s="13">
        <f>(Z5+Z6+Z15)/W7*W6</f>
        <v>304409.2839506173</v>
      </c>
      <c r="O52" s="65">
        <f t="shared" si="8"/>
        <v>2657101.6611120747</v>
      </c>
      <c r="P52" s="10"/>
      <c r="Q52" s="10"/>
      <c r="R52" s="10"/>
      <c r="S52" s="10"/>
      <c r="T52" s="10"/>
    </row>
    <row r="53" spans="1:20">
      <c r="A53" s="230" t="s">
        <v>124</v>
      </c>
      <c r="B53" s="231"/>
      <c r="C53" s="231"/>
      <c r="D53" s="231"/>
      <c r="E53" s="231"/>
      <c r="F53" s="231"/>
      <c r="G53" s="231"/>
      <c r="H53" s="231"/>
      <c r="I53" s="232"/>
      <c r="J53" s="65">
        <f>J54+J55+J61+J63</f>
        <v>16401613.452173915</v>
      </c>
      <c r="K53" s="65">
        <f>K54+K55+K62+K63</f>
        <v>5352135.9090909082</v>
      </c>
      <c r="L53" s="65">
        <f t="shared" ref="L53:N53" si="10">L54+L55+L61+L63</f>
        <v>5775838.7045454551</v>
      </c>
      <c r="M53" s="65">
        <f t="shared" si="10"/>
        <v>11108141.924369749</v>
      </c>
      <c r="N53" s="65">
        <f t="shared" si="10"/>
        <v>5456278.9135802472</v>
      </c>
      <c r="O53" s="65">
        <f t="shared" si="8"/>
        <v>44094008.903760277</v>
      </c>
      <c r="P53" s="10"/>
      <c r="Q53" s="10"/>
      <c r="R53" s="10"/>
      <c r="S53" s="10"/>
      <c r="T53" s="10"/>
    </row>
    <row r="54" spans="1:20">
      <c r="A54" s="233" t="s">
        <v>125</v>
      </c>
      <c r="B54" s="234"/>
      <c r="C54" s="234"/>
      <c r="D54" s="234"/>
      <c r="E54" s="234"/>
      <c r="F54" s="234"/>
      <c r="G54" s="234"/>
      <c r="H54" s="234"/>
      <c r="I54" s="235"/>
      <c r="J54" s="64">
        <f>J16/G7*G6</f>
        <v>7913596.7043478256</v>
      </c>
      <c r="K54" s="64">
        <f>N16/K7*K6</f>
        <v>3335422.4545454541</v>
      </c>
      <c r="L54" s="64">
        <f>R16/O7*O6</f>
        <v>4258392.0113636367</v>
      </c>
      <c r="M54" s="64">
        <f>V16/S7*S6</f>
        <v>4688554.4369747899</v>
      </c>
      <c r="N54" s="64">
        <f>Z16/W7*W6</f>
        <v>3499979.0617283951</v>
      </c>
      <c r="O54" s="65">
        <f t="shared" si="8"/>
        <v>23695944.668960102</v>
      </c>
      <c r="P54" s="10"/>
      <c r="Q54" s="10"/>
      <c r="R54" s="10"/>
    </row>
    <row r="55" spans="1:20">
      <c r="A55" s="164" t="s">
        <v>126</v>
      </c>
      <c r="B55" s="227"/>
      <c r="C55" s="227"/>
      <c r="D55" s="227"/>
      <c r="E55" s="227"/>
      <c r="F55" s="227"/>
      <c r="G55" s="227"/>
      <c r="H55" s="227"/>
      <c r="I55" s="165"/>
      <c r="J55" s="64">
        <f>SUM(J56:J58)</f>
        <v>2507330.3273913041</v>
      </c>
      <c r="K55" s="64">
        <f t="shared" ref="K55:N55" si="11">SUM(K56:K58)</f>
        <v>875109.42727272725</v>
      </c>
      <c r="L55" s="64">
        <f t="shared" si="11"/>
        <v>522455.4363636364</v>
      </c>
      <c r="M55" s="64">
        <f t="shared" si="11"/>
        <v>1405533.718487395</v>
      </c>
      <c r="N55" s="64">
        <f t="shared" si="11"/>
        <v>763935.2888888889</v>
      </c>
      <c r="O55" s="65">
        <f t="shared" si="8"/>
        <v>6074364.1984039508</v>
      </c>
      <c r="P55" s="10"/>
      <c r="Q55" s="10"/>
      <c r="R55" s="10"/>
    </row>
    <row r="56" spans="1:20">
      <c r="A56" s="164" t="s">
        <v>82</v>
      </c>
      <c r="B56" s="227"/>
      <c r="C56" s="227"/>
      <c r="D56" s="227"/>
      <c r="E56" s="227"/>
      <c r="F56" s="227"/>
      <c r="G56" s="227"/>
      <c r="H56" s="227"/>
      <c r="I56" s="165"/>
      <c r="J56" s="13">
        <f>(939567*90%)/G7*G6</f>
        <v>702224.20565217396</v>
      </c>
      <c r="K56" s="13">
        <f>(330117*90%)/K7*K6</f>
        <v>209324.18863636363</v>
      </c>
      <c r="L56" s="13">
        <f>(444516*90%)/O7*O6</f>
        <v>322779.23181818187</v>
      </c>
      <c r="M56" s="13">
        <f>(369780*90%)/S7*S6</f>
        <v>204155.84873949582</v>
      </c>
      <c r="N56" s="13">
        <f>(196439*90%)/W7*W6</f>
        <v>139689.95555555556</v>
      </c>
      <c r="O56" s="65">
        <f t="shared" si="8"/>
        <v>1578173.4304017709</v>
      </c>
      <c r="P56" s="10"/>
      <c r="Q56" s="71"/>
      <c r="R56" s="10"/>
    </row>
    <row r="57" spans="1:20">
      <c r="A57" s="164" t="s">
        <v>83</v>
      </c>
      <c r="B57" s="227"/>
      <c r="C57" s="227"/>
      <c r="D57" s="227"/>
      <c r="E57" s="227"/>
      <c r="F57" s="227"/>
      <c r="G57" s="227"/>
      <c r="H57" s="227"/>
      <c r="I57" s="165"/>
      <c r="J57" s="13">
        <f>(2551142*50%)/G7*G6</f>
        <v>1059278.5260869565</v>
      </c>
      <c r="K57" s="13">
        <f>(1407397*50%)/K7*K6</f>
        <v>495787.57954545459</v>
      </c>
      <c r="L57" s="13">
        <f>(494972*50%)/O7*O6</f>
        <v>199676.20454545453</v>
      </c>
      <c r="M57" s="13">
        <f>(1458433*50%)/S7*S6</f>
        <v>447334.49159663869</v>
      </c>
      <c r="N57" s="13">
        <f>(1095607*50%)/W7*W6</f>
        <v>432832.39506172837</v>
      </c>
      <c r="O57" s="65">
        <f t="shared" si="8"/>
        <v>2634909.1968362331</v>
      </c>
      <c r="P57" s="10"/>
      <c r="Q57" s="10"/>
      <c r="R57" s="10"/>
    </row>
    <row r="58" spans="1:20">
      <c r="A58" s="164" t="s">
        <v>84</v>
      </c>
      <c r="B58" s="227"/>
      <c r="C58" s="227"/>
      <c r="D58" s="227"/>
      <c r="E58" s="227"/>
      <c r="F58" s="227"/>
      <c r="G58" s="227"/>
      <c r="H58" s="227"/>
      <c r="I58" s="165"/>
      <c r="J58" s="13">
        <f>898117/G7*G6</f>
        <v>745827.59565217397</v>
      </c>
      <c r="K58" s="13">
        <f>241287/K7*K6</f>
        <v>169997.65909090912</v>
      </c>
      <c r="L58" s="13"/>
      <c r="M58" s="13">
        <f>1229194/S7*S6</f>
        <v>754043.37815126055</v>
      </c>
      <c r="N58" s="13">
        <f>242257/W7*W6</f>
        <v>191412.93827160494</v>
      </c>
      <c r="O58" s="65">
        <f t="shared" si="8"/>
        <v>1861281.5711659486</v>
      </c>
      <c r="P58" s="10"/>
      <c r="Q58" s="71"/>
      <c r="R58" s="10"/>
    </row>
    <row r="59" spans="1:20">
      <c r="A59" s="164" t="s">
        <v>127</v>
      </c>
      <c r="B59" s="227"/>
      <c r="C59" s="227"/>
      <c r="D59" s="227"/>
      <c r="E59" s="227"/>
      <c r="F59" s="227"/>
      <c r="G59" s="227"/>
      <c r="H59" s="227"/>
      <c r="I59" s="165"/>
      <c r="J59" s="13"/>
      <c r="K59" s="13"/>
      <c r="L59" s="13"/>
      <c r="M59" s="13"/>
      <c r="N59" s="13"/>
      <c r="O59" s="65">
        <f t="shared" si="8"/>
        <v>0</v>
      </c>
      <c r="P59" s="10"/>
      <c r="Q59" s="10"/>
      <c r="R59" s="71"/>
    </row>
    <row r="60" spans="1:20">
      <c r="A60" s="164" t="s">
        <v>128</v>
      </c>
      <c r="B60" s="227"/>
      <c r="C60" s="227"/>
      <c r="D60" s="227"/>
      <c r="E60" s="227"/>
      <c r="F60" s="227"/>
      <c r="G60" s="227"/>
      <c r="H60" s="227"/>
      <c r="I60" s="165"/>
      <c r="J60" s="13"/>
      <c r="K60" s="13"/>
      <c r="L60" s="13"/>
      <c r="M60" s="13"/>
      <c r="N60" s="13"/>
      <c r="O60" s="65">
        <f t="shared" si="8"/>
        <v>0</v>
      </c>
      <c r="P60" s="10"/>
      <c r="Q60" s="10"/>
      <c r="R60" s="10"/>
    </row>
    <row r="61" spans="1:20">
      <c r="A61" s="228" t="s">
        <v>129</v>
      </c>
      <c r="B61" s="163"/>
      <c r="C61" s="163"/>
      <c r="D61" s="163"/>
      <c r="E61" s="163"/>
      <c r="F61" s="163"/>
      <c r="G61" s="163"/>
      <c r="H61" s="163"/>
      <c r="I61" s="229"/>
      <c r="J61" s="76">
        <f>J62</f>
        <v>752510.97</v>
      </c>
      <c r="K61" s="76">
        <f>K62</f>
        <v>244471.33</v>
      </c>
      <c r="L61" s="76">
        <f>L62</f>
        <v>339485.92</v>
      </c>
      <c r="M61" s="76">
        <f>M62</f>
        <v>522160.05</v>
      </c>
      <c r="N61" s="76">
        <f>N62</f>
        <v>341074.19</v>
      </c>
      <c r="O61" s="65">
        <f t="shared" si="8"/>
        <v>2199702.46</v>
      </c>
      <c r="P61" s="10"/>
      <c r="Q61" s="10"/>
      <c r="R61" s="10"/>
    </row>
    <row r="62" spans="1:20">
      <c r="A62" s="233" t="s">
        <v>132</v>
      </c>
      <c r="B62" s="234"/>
      <c r="C62" s="234"/>
      <c r="D62" s="234"/>
      <c r="E62" s="234"/>
      <c r="F62" s="234"/>
      <c r="G62" s="234"/>
      <c r="H62" s="234"/>
      <c r="I62" s="235"/>
      <c r="J62" s="13">
        <f>752510.97</f>
        <v>752510.97</v>
      </c>
      <c r="K62" s="13">
        <v>244471.33</v>
      </c>
      <c r="L62" s="13">
        <v>339485.92</v>
      </c>
      <c r="M62" s="13">
        <v>522160.05</v>
      </c>
      <c r="N62" s="13">
        <f>341074.19</f>
        <v>341074.19</v>
      </c>
      <c r="O62" s="65">
        <f t="shared" si="8"/>
        <v>2199702.46</v>
      </c>
      <c r="P62" s="10"/>
      <c r="Q62" s="10"/>
      <c r="R62" s="10"/>
    </row>
    <row r="63" spans="1:20">
      <c r="A63" s="164" t="s">
        <v>131</v>
      </c>
      <c r="B63" s="227"/>
      <c r="C63" s="227"/>
      <c r="D63" s="227"/>
      <c r="E63" s="227"/>
      <c r="F63" s="227"/>
      <c r="G63" s="227"/>
      <c r="H63" s="227"/>
      <c r="I63" s="165"/>
      <c r="J63" s="64">
        <f>J64</f>
        <v>5228175.4504347825</v>
      </c>
      <c r="K63" s="64">
        <f>K64</f>
        <v>897132.69727272738</v>
      </c>
      <c r="L63" s="64">
        <f>L64</f>
        <v>655505.33681818179</v>
      </c>
      <c r="M63" s="64">
        <f t="shared" ref="M63:N63" si="12">M64</f>
        <v>4491893.7189075639</v>
      </c>
      <c r="N63" s="64">
        <f t="shared" si="12"/>
        <v>851290.37296296307</v>
      </c>
      <c r="O63" s="65">
        <f t="shared" si="8"/>
        <v>12123997.576396219</v>
      </c>
      <c r="P63" s="10"/>
      <c r="Q63" s="10"/>
      <c r="R63" s="10"/>
    </row>
    <row r="64" spans="1:20">
      <c r="A64" s="233" t="s">
        <v>130</v>
      </c>
      <c r="B64" s="234"/>
      <c r="C64" s="234"/>
      <c r="D64" s="234"/>
      <c r="E64" s="234"/>
      <c r="F64" s="234"/>
      <c r="G64" s="234"/>
      <c r="H64" s="234"/>
      <c r="I64" s="235"/>
      <c r="J64" s="13">
        <f>(J7+J9+J12+J17)/G7*G6-J55-J61</f>
        <v>5228175.4504347825</v>
      </c>
      <c r="K64" s="13">
        <f>(N7+N9+N12+N17)/K7*K6-K55-K61</f>
        <v>897132.69727272738</v>
      </c>
      <c r="L64" s="13">
        <f>(R7+R9+R12+R17)/O7*O6-L61-L55</f>
        <v>655505.33681818179</v>
      </c>
      <c r="M64" s="13">
        <f>(V7+V9+V12+V17)/S7*S6-M55-M61</f>
        <v>4491893.7189075639</v>
      </c>
      <c r="N64" s="13">
        <f>(Z7+Z9+Z12+Z17)/W7*W6-N55-N61</f>
        <v>851290.37296296307</v>
      </c>
      <c r="O64" s="65">
        <f t="shared" si="8"/>
        <v>12123997.576396219</v>
      </c>
      <c r="P64" s="10"/>
      <c r="Q64" s="10"/>
      <c r="R64" s="10"/>
    </row>
    <row r="65" spans="1:18">
      <c r="A65" s="230" t="s">
        <v>93</v>
      </c>
      <c r="B65" s="231"/>
      <c r="C65" s="231"/>
      <c r="D65" s="231"/>
      <c r="E65" s="231"/>
      <c r="F65" s="231"/>
      <c r="G65" s="231"/>
      <c r="H65" s="231"/>
      <c r="I65" s="232"/>
      <c r="J65" s="81">
        <f>J48+J53</f>
        <v>17700536.356521741</v>
      </c>
      <c r="K65" s="81">
        <f>K48+K53</f>
        <v>5787088.4545454532</v>
      </c>
      <c r="L65" s="81">
        <f t="shared" ref="L65:N65" si="13">L48+L53</f>
        <v>6600503.7045454551</v>
      </c>
      <c r="M65" s="81">
        <f t="shared" si="13"/>
        <v>11833869.890756303</v>
      </c>
      <c r="N65" s="81">
        <f t="shared" si="13"/>
        <v>5911601.777777778</v>
      </c>
      <c r="O65" s="65">
        <f t="shared" si="8"/>
        <v>47833600.184146725</v>
      </c>
      <c r="P65" s="10"/>
      <c r="Q65" s="10"/>
      <c r="R65" s="10"/>
    </row>
    <row r="66" spans="1:18">
      <c r="A66" s="245" t="s">
        <v>135</v>
      </c>
      <c r="B66" s="246"/>
      <c r="C66" s="246"/>
      <c r="D66" s="246"/>
      <c r="E66" s="246"/>
      <c r="F66" s="246"/>
      <c r="G66" s="246"/>
      <c r="H66" s="246"/>
      <c r="I66" s="247"/>
      <c r="J66" s="88">
        <f>J65/G6</f>
        <v>92672.965217391305</v>
      </c>
      <c r="K66" s="88">
        <f>K65/K6</f>
        <v>186680.27272727268</v>
      </c>
      <c r="L66" s="88">
        <f>L65/O6</f>
        <v>92964.840909090912</v>
      </c>
      <c r="M66" s="88">
        <f>M65/S6</f>
        <v>162107.8067226891</v>
      </c>
      <c r="N66" s="88">
        <f>N65/W6</f>
        <v>92368.777777777781</v>
      </c>
      <c r="O66" s="89"/>
      <c r="P66" s="10"/>
      <c r="Q66" s="10"/>
      <c r="R66" s="10"/>
    </row>
    <row r="67" spans="1:18">
      <c r="A67" s="308" t="s">
        <v>195</v>
      </c>
      <c r="B67" s="309"/>
      <c r="C67" s="309"/>
      <c r="D67" s="309"/>
      <c r="E67" s="309"/>
      <c r="F67" s="309"/>
      <c r="G67" s="309"/>
      <c r="H67" s="309"/>
      <c r="I67" s="310"/>
      <c r="J67" s="122">
        <f t="shared" ref="J67:O67" si="14">J42+J65</f>
        <v>21314782</v>
      </c>
      <c r="K67" s="122">
        <f t="shared" si="14"/>
        <v>8213931.9999999981</v>
      </c>
      <c r="L67" s="122">
        <f t="shared" si="14"/>
        <v>8180906.0000000009</v>
      </c>
      <c r="M67" s="122">
        <f t="shared" si="14"/>
        <v>19290829</v>
      </c>
      <c r="N67" s="122">
        <f t="shared" si="14"/>
        <v>7481871</v>
      </c>
      <c r="O67" s="122">
        <f t="shared" si="14"/>
        <v>64482319.999999993</v>
      </c>
      <c r="P67" s="10"/>
      <c r="Q67" s="10"/>
      <c r="R67" s="10"/>
    </row>
    <row r="68" spans="1:18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</row>
    <row r="69" spans="1:18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</row>
  </sheetData>
  <mergeCells count="77">
    <mergeCell ref="A63:I63"/>
    <mergeCell ref="A64:I64"/>
    <mergeCell ref="A65:I65"/>
    <mergeCell ref="A66:I66"/>
    <mergeCell ref="A67:I67"/>
    <mergeCell ref="K2:Q2"/>
    <mergeCell ref="A57:I57"/>
    <mergeCell ref="A58:I58"/>
    <mergeCell ref="A59:I59"/>
    <mergeCell ref="A60:I60"/>
    <mergeCell ref="A42:I42"/>
    <mergeCell ref="A43:I43"/>
    <mergeCell ref="A47:O47"/>
    <mergeCell ref="A48:I48"/>
    <mergeCell ref="A49:I49"/>
    <mergeCell ref="A50:I50"/>
    <mergeCell ref="A36:I36"/>
    <mergeCell ref="A37:I37"/>
    <mergeCell ref="A38:I38"/>
    <mergeCell ref="A39:I39"/>
    <mergeCell ref="A40:I40"/>
    <mergeCell ref="A61:I61"/>
    <mergeCell ref="A62:I62"/>
    <mergeCell ref="A51:I51"/>
    <mergeCell ref="A52:I52"/>
    <mergeCell ref="A53:I53"/>
    <mergeCell ref="A54:I54"/>
    <mergeCell ref="A55:I55"/>
    <mergeCell ref="A56:I56"/>
    <mergeCell ref="A41:I41"/>
    <mergeCell ref="A30:I30"/>
    <mergeCell ref="A31:I31"/>
    <mergeCell ref="A32:I32"/>
    <mergeCell ref="A33:I33"/>
    <mergeCell ref="A34:I34"/>
    <mergeCell ref="A35:I35"/>
    <mergeCell ref="A29:I29"/>
    <mergeCell ref="B14:D14"/>
    <mergeCell ref="B15:D15"/>
    <mergeCell ref="B16:D16"/>
    <mergeCell ref="B17:D17"/>
    <mergeCell ref="A18:D18"/>
    <mergeCell ref="A23:I23"/>
    <mergeCell ref="A24:O24"/>
    <mergeCell ref="A25:I25"/>
    <mergeCell ref="A26:I26"/>
    <mergeCell ref="A27:I27"/>
    <mergeCell ref="A28:I28"/>
    <mergeCell ref="B13:D13"/>
    <mergeCell ref="Q7:Q8"/>
    <mergeCell ref="R7:R8"/>
    <mergeCell ref="U7:U8"/>
    <mergeCell ref="V7:V8"/>
    <mergeCell ref="M7:M8"/>
    <mergeCell ref="N7:N8"/>
    <mergeCell ref="B8:D8"/>
    <mergeCell ref="B9:D9"/>
    <mergeCell ref="B10:D10"/>
    <mergeCell ref="B11:D11"/>
    <mergeCell ref="B12:D12"/>
    <mergeCell ref="Y7:Y8"/>
    <mergeCell ref="Z7:Z8"/>
    <mergeCell ref="S3:V3"/>
    <mergeCell ref="W3:Z3"/>
    <mergeCell ref="AA3:AA4"/>
    <mergeCell ref="B5:D5"/>
    <mergeCell ref="B6:D6"/>
    <mergeCell ref="B7:D7"/>
    <mergeCell ref="I7:I8"/>
    <mergeCell ref="J7:J8"/>
    <mergeCell ref="K3:N3"/>
    <mergeCell ref="O3:R3"/>
    <mergeCell ref="A3:A4"/>
    <mergeCell ref="B3:D4"/>
    <mergeCell ref="E3:E4"/>
    <mergeCell ref="F3:F4"/>
    <mergeCell ref="G3:J3"/>
  </mergeCells>
  <pageMargins left="0" right="0" top="0.74803149606299213" bottom="0.74803149606299213" header="0.31496062992125984" footer="0.31496062992125984"/>
  <pageSetup paperSize="9" scale="54" fitToHeight="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133"/>
  <sheetViews>
    <sheetView topLeftCell="A106" workbookViewId="0">
      <selection activeCell="A128" sqref="A128:H136"/>
    </sheetView>
  </sheetViews>
  <sheetFormatPr defaultRowHeight="15"/>
  <cols>
    <col min="6" max="6" width="12.28515625" customWidth="1"/>
    <col min="9" max="9" width="10.140625" bestFit="1" customWidth="1"/>
    <col min="10" max="10" width="12.5703125" bestFit="1" customWidth="1"/>
    <col min="11" max="11" width="11.42578125" customWidth="1"/>
    <col min="12" max="12" width="12.140625" bestFit="1" customWidth="1"/>
    <col min="13" max="13" width="12.140625" customWidth="1"/>
    <col min="14" max="14" width="12.140625" bestFit="1" customWidth="1"/>
    <col min="15" max="15" width="12" bestFit="1" customWidth="1"/>
    <col min="16" max="16" width="10.5703125" bestFit="1" customWidth="1"/>
    <col min="26" max="26" width="9.5703125" bestFit="1" customWidth="1"/>
  </cols>
  <sheetData>
    <row r="1" spans="1:26" ht="16.5">
      <c r="K1" s="316" t="s">
        <v>208</v>
      </c>
      <c r="L1" s="316"/>
      <c r="M1" s="316"/>
      <c r="N1" s="316"/>
      <c r="O1" s="316"/>
      <c r="P1" s="316"/>
    </row>
    <row r="2" spans="1:26">
      <c r="A2" s="210" t="s">
        <v>22</v>
      </c>
      <c r="B2" s="211"/>
      <c r="C2" s="212"/>
      <c r="D2" s="216" t="s">
        <v>0</v>
      </c>
      <c r="E2" s="218" t="s">
        <v>70</v>
      </c>
      <c r="F2" s="169" t="s">
        <v>67</v>
      </c>
      <c r="G2" s="169"/>
      <c r="H2" s="169"/>
      <c r="I2" s="169"/>
      <c r="J2" s="169" t="s">
        <v>65</v>
      </c>
      <c r="K2" s="169"/>
      <c r="L2" s="169"/>
      <c r="M2" s="169"/>
      <c r="N2" s="205" t="s">
        <v>66</v>
      </c>
      <c r="O2" s="206"/>
      <c r="P2" s="206"/>
      <c r="Q2" s="207"/>
      <c r="R2" s="205" t="s">
        <v>74</v>
      </c>
      <c r="S2" s="206"/>
      <c r="T2" s="206"/>
      <c r="U2" s="207"/>
      <c r="V2" s="169" t="s">
        <v>75</v>
      </c>
      <c r="W2" s="169"/>
      <c r="X2" s="169"/>
      <c r="Y2" s="169"/>
    </row>
    <row r="3" spans="1:26" ht="51">
      <c r="A3" s="213"/>
      <c r="B3" s="214"/>
      <c r="C3" s="215"/>
      <c r="D3" s="217"/>
      <c r="E3" s="219"/>
      <c r="F3" s="137" t="s">
        <v>69</v>
      </c>
      <c r="G3" s="137" t="s">
        <v>9</v>
      </c>
      <c r="H3" s="137" t="s">
        <v>10</v>
      </c>
      <c r="I3" s="137" t="s">
        <v>16</v>
      </c>
      <c r="J3" s="137" t="s">
        <v>69</v>
      </c>
      <c r="K3" s="137" t="s">
        <v>64</v>
      </c>
      <c r="L3" s="137" t="s">
        <v>10</v>
      </c>
      <c r="M3" s="137" t="s">
        <v>16</v>
      </c>
      <c r="N3" s="137" t="s">
        <v>8</v>
      </c>
      <c r="O3" s="137" t="s">
        <v>64</v>
      </c>
      <c r="P3" s="137" t="s">
        <v>1</v>
      </c>
      <c r="Q3" s="137" t="s">
        <v>16</v>
      </c>
      <c r="R3" s="137" t="s">
        <v>68</v>
      </c>
      <c r="S3" s="137" t="s">
        <v>64</v>
      </c>
      <c r="T3" s="137" t="s">
        <v>10</v>
      </c>
      <c r="U3" s="137" t="s">
        <v>16</v>
      </c>
      <c r="V3" s="137" t="s">
        <v>68</v>
      </c>
      <c r="W3" s="137" t="s">
        <v>64</v>
      </c>
      <c r="X3" s="137" t="s">
        <v>1</v>
      </c>
      <c r="Y3" s="137" t="s">
        <v>16</v>
      </c>
    </row>
    <row r="4" spans="1:26">
      <c r="A4" s="181" t="s">
        <v>23</v>
      </c>
      <c r="B4" s="182"/>
      <c r="C4" s="183"/>
      <c r="D4" s="143" t="s">
        <v>24</v>
      </c>
      <c r="E4" s="34">
        <v>35000</v>
      </c>
      <c r="F4" s="144">
        <v>7</v>
      </c>
      <c r="G4" s="31">
        <f>E4*F4</f>
        <v>245000</v>
      </c>
      <c r="H4" s="144">
        <v>14</v>
      </c>
      <c r="I4" s="152">
        <v>285401</v>
      </c>
      <c r="J4" s="33">
        <v>2</v>
      </c>
      <c r="K4" s="34">
        <f>J4*E4</f>
        <v>70000</v>
      </c>
      <c r="L4" s="144">
        <v>13</v>
      </c>
      <c r="M4" s="152">
        <v>79863</v>
      </c>
      <c r="N4" s="33">
        <v>1</v>
      </c>
      <c r="O4" s="34">
        <v>35000</v>
      </c>
      <c r="P4" s="33"/>
      <c r="Q4" s="155">
        <v>72649</v>
      </c>
      <c r="R4" s="144" t="s">
        <v>76</v>
      </c>
      <c r="S4" s="144">
        <f>(17*35000)+(3*20000)</f>
        <v>655000</v>
      </c>
      <c r="T4" s="144"/>
      <c r="U4" s="144">
        <v>1439592</v>
      </c>
      <c r="V4" s="144">
        <v>2</v>
      </c>
      <c r="W4" s="144">
        <f>V4*35000</f>
        <v>70000</v>
      </c>
      <c r="X4" s="144">
        <v>10</v>
      </c>
      <c r="Y4" s="144">
        <v>69680</v>
      </c>
    </row>
    <row r="5" spans="1:26">
      <c r="A5" s="181" t="s">
        <v>30</v>
      </c>
      <c r="B5" s="182"/>
      <c r="C5" s="183"/>
      <c r="D5" s="143" t="s">
        <v>24</v>
      </c>
      <c r="E5" s="34">
        <v>1325</v>
      </c>
      <c r="F5" s="144">
        <v>41.25</v>
      </c>
      <c r="G5" s="31">
        <f>E5*F5</f>
        <v>54656.25</v>
      </c>
      <c r="H5" s="144">
        <v>45</v>
      </c>
      <c r="I5" s="31"/>
      <c r="J5" s="33">
        <v>9.5</v>
      </c>
      <c r="K5" s="34">
        <f>1325*9.5</f>
        <v>12587.5</v>
      </c>
      <c r="L5" s="144"/>
      <c r="M5" s="31"/>
      <c r="N5" s="33">
        <v>6</v>
      </c>
      <c r="O5" s="34">
        <v>7950</v>
      </c>
      <c r="P5" s="33"/>
      <c r="Q5" s="54"/>
      <c r="R5" s="144" t="s">
        <v>77</v>
      </c>
      <c r="S5" s="144"/>
      <c r="T5" s="144"/>
      <c r="U5" s="144"/>
      <c r="V5" s="144">
        <v>12</v>
      </c>
      <c r="W5" s="144"/>
      <c r="X5" s="144"/>
      <c r="Y5" s="144"/>
    </row>
    <row r="6" spans="1:26">
      <c r="A6" s="187" t="s">
        <v>53</v>
      </c>
      <c r="B6" s="188"/>
      <c r="C6" s="189"/>
      <c r="D6" s="143" t="s">
        <v>24</v>
      </c>
      <c r="E6" s="34"/>
      <c r="F6" s="144"/>
      <c r="G6" s="31"/>
      <c r="H6" s="144"/>
      <c r="I6" s="31"/>
      <c r="J6" s="33"/>
      <c r="K6" s="34"/>
      <c r="L6" s="144"/>
      <c r="M6" s="31"/>
      <c r="N6" s="33"/>
      <c r="O6" s="34"/>
      <c r="P6" s="33"/>
      <c r="R6" s="144"/>
      <c r="S6" s="144"/>
      <c r="T6" s="144"/>
      <c r="U6" s="144"/>
      <c r="V6" s="144"/>
      <c r="W6" s="144"/>
      <c r="X6" s="144"/>
      <c r="Y6" s="144"/>
    </row>
    <row r="7" spans="1:26">
      <c r="A7" s="180" t="s">
        <v>51</v>
      </c>
      <c r="B7" s="180"/>
      <c r="C7" s="180"/>
      <c r="D7" s="143" t="s">
        <v>24</v>
      </c>
      <c r="E7" s="34"/>
      <c r="F7" s="144"/>
      <c r="G7" s="31"/>
      <c r="H7" s="144"/>
      <c r="I7" s="152">
        <v>1248000</v>
      </c>
      <c r="J7" s="33"/>
      <c r="K7" s="34"/>
      <c r="L7" s="144"/>
      <c r="M7" s="31">
        <f>384800</f>
        <v>384800</v>
      </c>
      <c r="N7" s="33"/>
      <c r="O7" s="34"/>
      <c r="P7" s="33"/>
      <c r="Q7" s="54">
        <v>778140</v>
      </c>
      <c r="R7" s="144"/>
      <c r="S7" s="144"/>
      <c r="T7" s="144"/>
      <c r="U7" s="144">
        <v>1926143</v>
      </c>
      <c r="V7" s="144"/>
      <c r="W7" s="144"/>
      <c r="X7" s="144"/>
      <c r="Y7" s="144">
        <v>849132</v>
      </c>
    </row>
    <row r="8" spans="1:26">
      <c r="A8" s="180" t="s">
        <v>54</v>
      </c>
      <c r="B8" s="180"/>
      <c r="C8" s="180"/>
      <c r="D8" s="143" t="s">
        <v>24</v>
      </c>
      <c r="E8" s="34">
        <v>250</v>
      </c>
      <c r="F8" s="55">
        <v>1075.7</v>
      </c>
      <c r="G8" s="56">
        <f>F8*E8</f>
        <v>268925</v>
      </c>
      <c r="H8" s="144"/>
      <c r="I8" s="312">
        <v>311380</v>
      </c>
      <c r="J8" s="33">
        <v>381.6</v>
      </c>
      <c r="K8" s="34">
        <f>J8*E8</f>
        <v>95400</v>
      </c>
      <c r="L8" s="144">
        <v>23</v>
      </c>
      <c r="M8" s="170">
        <v>156000</v>
      </c>
      <c r="N8" s="33">
        <v>262</v>
      </c>
      <c r="O8" s="34">
        <v>65500</v>
      </c>
      <c r="P8" s="33"/>
      <c r="Q8" s="172">
        <v>26000</v>
      </c>
      <c r="R8" s="144">
        <v>1841.8</v>
      </c>
      <c r="S8" s="144">
        <v>400</v>
      </c>
      <c r="T8" s="144"/>
      <c r="U8" s="144">
        <v>435643</v>
      </c>
      <c r="V8" s="144"/>
      <c r="W8" s="144"/>
      <c r="X8" s="144"/>
      <c r="Y8" s="144">
        <v>116211</v>
      </c>
    </row>
    <row r="9" spans="1:26">
      <c r="A9" s="180" t="s">
        <v>57</v>
      </c>
      <c r="B9" s="180"/>
      <c r="C9" s="180"/>
      <c r="D9" s="143" t="s">
        <v>24</v>
      </c>
      <c r="E9" s="34"/>
      <c r="F9" s="144">
        <v>1075.7</v>
      </c>
      <c r="G9" s="56">
        <f>F9*E9</f>
        <v>0</v>
      </c>
      <c r="H9" s="144"/>
      <c r="I9" s="313"/>
      <c r="J9" s="33">
        <v>381.6</v>
      </c>
      <c r="K9" s="34">
        <f>J9*E9</f>
        <v>0</v>
      </c>
      <c r="L9" s="144"/>
      <c r="M9" s="171"/>
      <c r="N9" s="33">
        <v>262</v>
      </c>
      <c r="O9" s="34">
        <f>N34*E34</f>
        <v>0</v>
      </c>
      <c r="P9" s="33"/>
      <c r="Q9" s="173"/>
      <c r="R9" s="144">
        <v>1841.8</v>
      </c>
      <c r="S9" s="144">
        <v>400</v>
      </c>
      <c r="T9" s="144"/>
      <c r="V9" s="144"/>
      <c r="W9" s="144"/>
      <c r="X9" s="144"/>
      <c r="Y9" s="144"/>
    </row>
    <row r="10" spans="1:26">
      <c r="A10" s="184" t="s">
        <v>35</v>
      </c>
      <c r="B10" s="185"/>
      <c r="C10" s="186"/>
      <c r="D10" s="57" t="s">
        <v>24</v>
      </c>
      <c r="E10" s="58">
        <v>270</v>
      </c>
      <c r="F10" s="35">
        <v>1075.7</v>
      </c>
      <c r="G10" s="36">
        <f>F10*E10</f>
        <v>290439</v>
      </c>
      <c r="H10" s="35"/>
      <c r="I10" s="153">
        <f>197620+74900</f>
        <v>272520</v>
      </c>
      <c r="J10" s="59">
        <v>150</v>
      </c>
      <c r="K10" s="58">
        <f>J9*J10</f>
        <v>57240</v>
      </c>
      <c r="L10" s="35">
        <v>-40</v>
      </c>
      <c r="M10" s="153">
        <f>33034+100900</f>
        <v>133934</v>
      </c>
      <c r="N10" s="60">
        <v>150</v>
      </c>
      <c r="O10" s="58">
        <v>39300</v>
      </c>
      <c r="P10" s="60"/>
      <c r="Q10" s="61">
        <f>71206+46800</f>
        <v>118006</v>
      </c>
      <c r="R10" s="144"/>
      <c r="S10" s="144">
        <v>700</v>
      </c>
      <c r="T10" s="144"/>
      <c r="U10" s="115">
        <f>980960+208000</f>
        <v>1188960</v>
      </c>
      <c r="V10" s="144">
        <v>654.20000000000005</v>
      </c>
      <c r="W10" s="144">
        <v>250</v>
      </c>
      <c r="X10" s="144"/>
      <c r="Y10" s="144">
        <f>104000+99800</f>
        <v>203800</v>
      </c>
    </row>
    <row r="11" spans="1:26">
      <c r="A11" s="174" t="s">
        <v>37</v>
      </c>
      <c r="B11" s="175"/>
      <c r="C11" s="176"/>
      <c r="D11" s="57" t="s">
        <v>24</v>
      </c>
      <c r="E11" s="33">
        <v>370</v>
      </c>
      <c r="F11" s="144">
        <v>270</v>
      </c>
      <c r="G11" s="31">
        <f>E11*F11</f>
        <v>99900</v>
      </c>
      <c r="H11" s="144"/>
      <c r="I11" s="152">
        <v>93600</v>
      </c>
      <c r="J11" s="33">
        <v>70</v>
      </c>
      <c r="K11" s="34">
        <f>J11*E11</f>
        <v>25900</v>
      </c>
      <c r="L11" s="33">
        <v>-25</v>
      </c>
      <c r="M11" s="152">
        <v>20800</v>
      </c>
      <c r="N11" s="33">
        <v>24</v>
      </c>
      <c r="O11" s="34">
        <v>8880</v>
      </c>
      <c r="P11" s="33"/>
      <c r="Q11" s="34">
        <v>45760</v>
      </c>
      <c r="R11" s="144">
        <v>8160</v>
      </c>
      <c r="S11" s="144">
        <v>86</v>
      </c>
      <c r="T11" s="144"/>
      <c r="U11" s="144">
        <v>416000</v>
      </c>
      <c r="V11" s="144"/>
      <c r="W11" s="144"/>
      <c r="X11" s="144"/>
      <c r="Y11" s="144">
        <v>10400</v>
      </c>
    </row>
    <row r="12" spans="1:26">
      <c r="A12" s="174" t="s">
        <v>39</v>
      </c>
      <c r="B12" s="175"/>
      <c r="C12" s="176"/>
      <c r="D12" s="57" t="s">
        <v>24</v>
      </c>
      <c r="E12" s="33">
        <v>370</v>
      </c>
      <c r="F12" s="144">
        <v>1075.7</v>
      </c>
      <c r="G12" s="31">
        <f>700*F12</f>
        <v>752990</v>
      </c>
      <c r="H12" s="144"/>
      <c r="I12" s="152">
        <v>78000</v>
      </c>
      <c r="J12" s="33">
        <v>381.6</v>
      </c>
      <c r="K12" s="34"/>
      <c r="L12" s="33"/>
      <c r="M12" s="152">
        <v>28600</v>
      </c>
      <c r="N12" s="33">
        <v>262</v>
      </c>
      <c r="O12" s="34">
        <v>52400</v>
      </c>
      <c r="P12" s="33"/>
      <c r="Q12" s="34">
        <v>24500</v>
      </c>
      <c r="R12" s="144"/>
      <c r="S12" s="144">
        <v>72</v>
      </c>
      <c r="T12" s="144"/>
      <c r="U12" s="144">
        <v>622285</v>
      </c>
      <c r="V12" s="144"/>
      <c r="W12" s="144"/>
      <c r="X12" s="144"/>
      <c r="Y12" s="144">
        <v>10400</v>
      </c>
    </row>
    <row r="13" spans="1:26">
      <c r="A13" s="177" t="s">
        <v>41</v>
      </c>
      <c r="B13" s="178"/>
      <c r="C13" s="179"/>
      <c r="D13" s="57" t="s">
        <v>24</v>
      </c>
      <c r="E13" s="33"/>
      <c r="F13" s="144"/>
      <c r="G13" s="30"/>
      <c r="H13" s="144"/>
      <c r="I13" s="152">
        <v>63751</v>
      </c>
      <c r="J13" s="33"/>
      <c r="K13" s="34"/>
      <c r="L13" s="33"/>
      <c r="M13" s="152">
        <v>488621</v>
      </c>
      <c r="N13" s="33"/>
      <c r="O13" s="34"/>
      <c r="P13" s="33"/>
      <c r="Q13" s="34">
        <v>64738</v>
      </c>
      <c r="R13" s="144"/>
      <c r="S13" s="144"/>
      <c r="T13" s="144"/>
      <c r="U13" s="144">
        <v>66183</v>
      </c>
      <c r="V13" s="144"/>
      <c r="W13" s="144"/>
      <c r="X13" s="144"/>
      <c r="Y13" s="144">
        <v>48089</v>
      </c>
    </row>
    <row r="14" spans="1:26">
      <c r="A14" s="180" t="s">
        <v>211</v>
      </c>
      <c r="B14" s="180"/>
      <c r="C14" s="180"/>
      <c r="D14" s="57" t="s">
        <v>24</v>
      </c>
      <c r="E14" s="33">
        <v>370</v>
      </c>
      <c r="F14" s="144">
        <v>270</v>
      </c>
      <c r="G14" s="31">
        <f>1150*260</f>
        <v>299000</v>
      </c>
      <c r="H14" s="144"/>
      <c r="I14" s="154">
        <v>202800</v>
      </c>
      <c r="J14" s="33">
        <v>73</v>
      </c>
      <c r="K14" s="34">
        <f>E13:E14*J14</f>
        <v>27010</v>
      </c>
      <c r="L14" s="144">
        <v>-42</v>
      </c>
      <c r="M14" s="154">
        <v>64771</v>
      </c>
      <c r="N14" s="33">
        <v>24</v>
      </c>
      <c r="O14" s="34">
        <v>8880</v>
      </c>
      <c r="P14" s="33"/>
      <c r="Q14" s="154">
        <v>32386</v>
      </c>
      <c r="R14" s="144"/>
      <c r="S14" s="144"/>
      <c r="T14" s="144"/>
      <c r="U14" s="148">
        <v>152227</v>
      </c>
      <c r="V14" s="144"/>
      <c r="W14" s="144"/>
      <c r="X14" s="144"/>
      <c r="Y14" s="148">
        <v>26720</v>
      </c>
      <c r="Z14" s="8">
        <f>I14+M14+Q14+U14+Y14</f>
        <v>478904</v>
      </c>
    </row>
    <row r="15" spans="1:26">
      <c r="A15" s="181" t="s">
        <v>52</v>
      </c>
      <c r="B15" s="182"/>
      <c r="C15" s="183"/>
      <c r="D15" s="57" t="s">
        <v>24</v>
      </c>
      <c r="E15" s="33"/>
      <c r="F15" s="144"/>
      <c r="G15" s="31"/>
      <c r="H15" s="144"/>
      <c r="I15" s="152">
        <v>34043728</v>
      </c>
      <c r="J15" s="33"/>
      <c r="K15" s="34"/>
      <c r="L15" s="144"/>
      <c r="M15" s="152">
        <v>7278451</v>
      </c>
      <c r="N15" s="33"/>
      <c r="O15" s="34"/>
      <c r="P15" s="33"/>
      <c r="Q15" s="34">
        <v>4737021</v>
      </c>
      <c r="R15" s="144"/>
      <c r="S15" s="144"/>
      <c r="T15" s="144"/>
      <c r="U15" s="144">
        <v>40843771</v>
      </c>
      <c r="V15" s="144"/>
      <c r="W15" s="144"/>
      <c r="X15" s="144"/>
      <c r="Y15" s="144">
        <v>11734268</v>
      </c>
    </row>
    <row r="16" spans="1:26">
      <c r="A16" s="181" t="s">
        <v>59</v>
      </c>
      <c r="B16" s="182"/>
      <c r="C16" s="183"/>
      <c r="D16" s="57" t="s">
        <v>24</v>
      </c>
      <c r="E16" s="34"/>
      <c r="F16" s="144"/>
      <c r="G16" s="31"/>
      <c r="H16" s="144"/>
      <c r="I16" s="152">
        <v>114400</v>
      </c>
      <c r="J16" s="33"/>
      <c r="K16" s="34"/>
      <c r="L16" s="144"/>
      <c r="M16" s="152">
        <v>106080</v>
      </c>
      <c r="N16" s="33"/>
      <c r="O16" s="34"/>
      <c r="P16" s="33"/>
      <c r="Q16" s="34">
        <v>98800</v>
      </c>
      <c r="R16" s="144"/>
      <c r="S16" s="144"/>
      <c r="T16" s="144"/>
      <c r="U16" s="144">
        <v>1095396</v>
      </c>
      <c r="V16" s="144"/>
      <c r="W16" s="144"/>
      <c r="X16" s="144"/>
      <c r="Y16" s="144">
        <v>109200</v>
      </c>
    </row>
    <row r="17" spans="1:25">
      <c r="A17" s="166" t="s">
        <v>60</v>
      </c>
      <c r="B17" s="167"/>
      <c r="C17" s="168"/>
      <c r="D17" s="37"/>
      <c r="E17" s="38"/>
      <c r="F17" s="37"/>
      <c r="G17" s="38"/>
      <c r="H17" s="37"/>
      <c r="I17" s="38">
        <f>SUM(I4:I16)</f>
        <v>36713580</v>
      </c>
      <c r="J17" s="37"/>
      <c r="K17" s="38"/>
      <c r="L17" s="37"/>
      <c r="M17" s="38">
        <f>SUM(M4:M16)</f>
        <v>8741920</v>
      </c>
      <c r="N17" s="37"/>
      <c r="O17" s="38"/>
      <c r="P17" s="37"/>
      <c r="Q17" s="38">
        <f>SUM(Q4:Q16)</f>
        <v>5998000</v>
      </c>
      <c r="R17" s="37"/>
      <c r="S17" s="37"/>
      <c r="T17" s="37"/>
      <c r="U17" s="37">
        <f>SUM(U4:U16)</f>
        <v>48186200</v>
      </c>
      <c r="V17" s="37"/>
      <c r="W17" s="37"/>
      <c r="X17" s="37"/>
      <c r="Y17" s="37">
        <f>SUM(Y4:Y16)</f>
        <v>13177900</v>
      </c>
    </row>
    <row r="18" spans="1:25">
      <c r="A18" s="30"/>
      <c r="B18" s="30" t="s">
        <v>202</v>
      </c>
      <c r="C18" s="30"/>
      <c r="D18" s="30"/>
      <c r="E18" s="30"/>
      <c r="F18" s="30"/>
      <c r="G18" s="30"/>
      <c r="H18" s="30"/>
      <c r="I18" s="56">
        <f>(I11+I14)/338</f>
        <v>876.92307692307691</v>
      </c>
      <c r="J18" s="30">
        <v>73</v>
      </c>
      <c r="K18" s="30"/>
      <c r="L18" s="30"/>
      <c r="M18" s="56">
        <f>(M11+M14)/J18</f>
        <v>1172.2054794520548</v>
      </c>
      <c r="N18" s="30">
        <v>24</v>
      </c>
      <c r="O18" s="56"/>
      <c r="P18" s="30"/>
      <c r="Q18" s="56">
        <f>(Q11+Q14)/N18</f>
        <v>3256.0833333333335</v>
      </c>
      <c r="R18" s="30">
        <v>74500</v>
      </c>
      <c r="S18" s="30"/>
      <c r="T18" s="30"/>
      <c r="U18" s="56">
        <f>U17/8160</f>
        <v>5905.1715686274511</v>
      </c>
      <c r="V18" s="30" t="s">
        <v>78</v>
      </c>
      <c r="W18" s="30"/>
      <c r="X18" s="30"/>
      <c r="Y18" s="30"/>
    </row>
    <row r="19" spans="1:25">
      <c r="A19" s="30"/>
      <c r="B19" s="30" t="s">
        <v>71</v>
      </c>
      <c r="C19" s="30"/>
      <c r="D19" s="30"/>
      <c r="E19" s="30"/>
      <c r="F19" s="30"/>
      <c r="G19" s="30"/>
      <c r="H19" s="30"/>
      <c r="I19" s="56">
        <f>(I8+I10+I12+I7)/1075.7</f>
        <v>1775.4950264943757</v>
      </c>
      <c r="J19" s="30"/>
      <c r="K19" s="30"/>
      <c r="L19" s="30"/>
      <c r="M19" s="56">
        <f>(M8+M10+M12+M7)/J9</f>
        <v>1843.1184486373165</v>
      </c>
      <c r="N19" s="30"/>
      <c r="O19" s="56"/>
      <c r="P19" s="30"/>
      <c r="Q19" s="56">
        <f>(Q7+Q8+Q10+Q12)/N18</f>
        <v>39443.583333333336</v>
      </c>
      <c r="R19" s="30" t="s">
        <v>79</v>
      </c>
      <c r="S19" s="30"/>
      <c r="T19" s="30"/>
      <c r="U19" s="8">
        <f>U17/R18</f>
        <v>646.79463087248325</v>
      </c>
      <c r="V19" s="30"/>
    </row>
    <row r="20" spans="1:25">
      <c r="A20" s="30"/>
      <c r="B20" s="30" t="s">
        <v>72</v>
      </c>
      <c r="C20" s="30"/>
      <c r="D20" s="30"/>
      <c r="E20" s="30"/>
      <c r="F20" s="30"/>
      <c r="G20" s="30"/>
      <c r="H20" s="30"/>
      <c r="I20" s="56">
        <f>(I4+I5+I15+I16)/41.25</f>
        <v>834994.64242424245</v>
      </c>
      <c r="J20" s="30"/>
      <c r="K20" s="30"/>
      <c r="L20" s="30"/>
      <c r="M20" s="56">
        <f>(M4+M5+M16+M15)/F5</f>
        <v>180955.00606060607</v>
      </c>
      <c r="N20" s="30"/>
      <c r="O20" s="56"/>
      <c r="P20" s="30"/>
      <c r="Q20" s="56">
        <f>(Q4+Q5+Q13+Q15+Q16)/N5</f>
        <v>828868</v>
      </c>
      <c r="R20" s="30"/>
      <c r="S20" s="30"/>
      <c r="T20" s="30"/>
      <c r="U20" s="30"/>
      <c r="V20" s="30" t="s">
        <v>116</v>
      </c>
      <c r="W20" s="30"/>
      <c r="X20" s="30"/>
      <c r="Y20" s="30"/>
    </row>
    <row r="21" spans="1:25">
      <c r="A21" s="30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</row>
    <row r="22" spans="1:25">
      <c r="A22" s="30"/>
      <c r="B22" s="30" t="s">
        <v>73</v>
      </c>
      <c r="C22" s="30"/>
      <c r="D22" s="30"/>
      <c r="E22" s="30"/>
      <c r="F22" s="30"/>
      <c r="G22" s="30"/>
      <c r="H22" s="30"/>
      <c r="I22" s="56">
        <f>I17/338</f>
        <v>108620.05917159763</v>
      </c>
      <c r="J22" s="56"/>
      <c r="K22" s="56"/>
      <c r="L22" s="56"/>
      <c r="M22" s="56">
        <f>M17/J14</f>
        <v>119752.32876712328</v>
      </c>
      <c r="N22" s="56"/>
      <c r="O22" s="8"/>
    </row>
    <row r="23" spans="1:25">
      <c r="A23" s="30"/>
      <c r="B23" s="30"/>
      <c r="C23" s="30"/>
      <c r="D23" s="30"/>
      <c r="E23" s="30"/>
      <c r="F23" s="30"/>
      <c r="G23" s="30"/>
      <c r="H23" s="30"/>
      <c r="I23" s="56"/>
      <c r="J23" s="56"/>
      <c r="K23" s="56"/>
      <c r="L23" s="56"/>
      <c r="M23" s="56"/>
      <c r="N23" s="56"/>
      <c r="O23" s="8"/>
    </row>
    <row r="24" spans="1:25">
      <c r="A24" s="30"/>
      <c r="B24" s="30"/>
      <c r="C24" s="30"/>
      <c r="D24" s="30"/>
      <c r="E24" s="30"/>
      <c r="F24" s="30"/>
      <c r="G24" s="30"/>
      <c r="H24" s="30"/>
      <c r="I24" s="56"/>
      <c r="J24" s="56"/>
      <c r="K24" s="56"/>
      <c r="L24" s="56"/>
      <c r="M24" s="56"/>
      <c r="N24" s="56"/>
      <c r="O24" s="8"/>
    </row>
    <row r="25" spans="1:25">
      <c r="A25" s="30"/>
      <c r="B25" s="30"/>
      <c r="C25" s="30"/>
      <c r="D25" s="30"/>
      <c r="E25" s="30"/>
      <c r="F25" s="30"/>
      <c r="G25" s="30"/>
      <c r="H25" s="30"/>
      <c r="I25" s="56"/>
      <c r="J25" s="30"/>
      <c r="L25" s="30"/>
      <c r="M25" s="30"/>
      <c r="N25" s="56"/>
      <c r="O25" s="8"/>
    </row>
    <row r="26" spans="1:25" ht="16.5">
      <c r="A26" s="30"/>
      <c r="B26" s="30"/>
      <c r="C26" s="30"/>
      <c r="D26" s="30"/>
      <c r="E26" s="30"/>
      <c r="F26" s="30"/>
      <c r="G26" s="30"/>
      <c r="H26" s="30"/>
      <c r="I26" s="56"/>
      <c r="J26" s="4"/>
      <c r="K26" s="162" t="s">
        <v>190</v>
      </c>
      <c r="L26" s="30"/>
      <c r="M26" s="30"/>
      <c r="N26" s="56"/>
      <c r="O26" s="8"/>
    </row>
    <row r="27" spans="1:25" ht="16.5">
      <c r="A27" s="30"/>
      <c r="B27" s="30"/>
      <c r="C27" s="30"/>
      <c r="D27" s="30"/>
      <c r="E27" s="30"/>
      <c r="F27" s="30"/>
      <c r="G27" s="30"/>
      <c r="H27" s="30"/>
      <c r="I27" s="56"/>
      <c r="J27" s="4"/>
      <c r="K27" s="162" t="s">
        <v>217</v>
      </c>
      <c r="L27" s="30"/>
      <c r="M27" s="30"/>
      <c r="N27" s="56"/>
      <c r="O27" s="8"/>
    </row>
    <row r="28" spans="1:25">
      <c r="A28" s="280" t="s">
        <v>167</v>
      </c>
      <c r="B28" s="280"/>
      <c r="C28" s="280"/>
      <c r="D28" s="280"/>
      <c r="E28" s="280"/>
      <c r="F28" s="280"/>
      <c r="G28" s="280"/>
      <c r="H28" s="280"/>
      <c r="I28" s="280"/>
      <c r="J28" s="280"/>
      <c r="K28" s="280"/>
      <c r="L28" s="280"/>
      <c r="M28" s="280"/>
    </row>
    <row r="29" spans="1:25" ht="30">
      <c r="A29" s="236" t="s">
        <v>203</v>
      </c>
      <c r="B29" s="237"/>
      <c r="C29" s="237"/>
      <c r="D29" s="237"/>
      <c r="E29" s="237"/>
      <c r="F29" s="237"/>
      <c r="G29" s="237"/>
      <c r="H29" s="237"/>
      <c r="I29" s="238"/>
      <c r="J29" s="136" t="s">
        <v>108</v>
      </c>
      <c r="K29" s="136" t="s">
        <v>109</v>
      </c>
      <c r="L29" s="18" t="s">
        <v>110</v>
      </c>
      <c r="M29" s="136" t="s">
        <v>93</v>
      </c>
    </row>
    <row r="30" spans="1:25">
      <c r="A30" s="236" t="s">
        <v>119</v>
      </c>
      <c r="B30" s="237"/>
      <c r="C30" s="237"/>
      <c r="D30" s="237"/>
      <c r="E30" s="237"/>
      <c r="F30" s="237"/>
      <c r="G30" s="237"/>
      <c r="H30" s="237"/>
      <c r="I30" s="238"/>
      <c r="J30" s="66">
        <f>SUM(J31:J33)</f>
        <v>24968485.16</v>
      </c>
      <c r="K30" s="66">
        <f t="shared" ref="K30:L30" si="0">SUM(K31:K33)</f>
        <v>5224178.6999999993</v>
      </c>
      <c r="L30" s="66">
        <f t="shared" si="0"/>
        <v>3458823.6999999997</v>
      </c>
      <c r="M30" s="66">
        <f>SUM(J30:L30)</f>
        <v>33651487.560000002</v>
      </c>
    </row>
    <row r="31" spans="1:25">
      <c r="A31" s="233" t="s">
        <v>88</v>
      </c>
      <c r="B31" s="234"/>
      <c r="C31" s="234"/>
      <c r="D31" s="234"/>
      <c r="E31" s="234"/>
      <c r="F31" s="234"/>
      <c r="G31" s="234"/>
      <c r="H31" s="234"/>
      <c r="I31" s="235"/>
      <c r="J31" s="13">
        <f>34043728*72%</f>
        <v>24511484.16</v>
      </c>
      <c r="K31" s="13">
        <f>M15*70%</f>
        <v>5094915.6999999993</v>
      </c>
      <c r="L31" s="13">
        <f>Q15*70%</f>
        <v>3315914.6999999997</v>
      </c>
      <c r="M31" s="66">
        <f t="shared" ref="M31:M43" si="1">SUM(J31:L31)</f>
        <v>32922314.559999999</v>
      </c>
    </row>
    <row r="32" spans="1:25">
      <c r="A32" s="164" t="s">
        <v>86</v>
      </c>
      <c r="B32" s="227"/>
      <c r="C32" s="227"/>
      <c r="D32" s="227"/>
      <c r="E32" s="227"/>
      <c r="F32" s="227"/>
      <c r="G32" s="227"/>
      <c r="H32" s="227"/>
      <c r="I32" s="165"/>
      <c r="J32" s="13">
        <f>I11+I12</f>
        <v>171600</v>
      </c>
      <c r="K32" s="13">
        <f>M11+M12</f>
        <v>49400</v>
      </c>
      <c r="L32" s="13">
        <f>Q11+Q12</f>
        <v>70260</v>
      </c>
      <c r="M32" s="66">
        <f t="shared" si="1"/>
        <v>291260</v>
      </c>
    </row>
    <row r="33" spans="1:14">
      <c r="A33" s="164" t="s">
        <v>85</v>
      </c>
      <c r="B33" s="227"/>
      <c r="C33" s="227"/>
      <c r="D33" s="227"/>
      <c r="E33" s="227"/>
      <c r="F33" s="227"/>
      <c r="G33" s="227"/>
      <c r="H33" s="227"/>
      <c r="I33" s="165"/>
      <c r="J33" s="13">
        <f>I4</f>
        <v>285401</v>
      </c>
      <c r="K33" s="13">
        <f>M4</f>
        <v>79863</v>
      </c>
      <c r="L33" s="13">
        <f>Q4</f>
        <v>72649</v>
      </c>
      <c r="M33" s="66">
        <f t="shared" si="1"/>
        <v>437913</v>
      </c>
    </row>
    <row r="34" spans="1:14">
      <c r="A34" s="230" t="s">
        <v>87</v>
      </c>
      <c r="B34" s="231"/>
      <c r="C34" s="231"/>
      <c r="D34" s="231"/>
      <c r="E34" s="231"/>
      <c r="F34" s="231"/>
      <c r="G34" s="231"/>
      <c r="H34" s="231"/>
      <c r="I34" s="232"/>
      <c r="J34" s="65">
        <f>J35+J36+J40+J42+J43</f>
        <v>11542294.840000002</v>
      </c>
      <c r="K34" s="65">
        <f t="shared" ref="K34" si="2">K35+K36+K40+K42+K43</f>
        <v>3452970.3</v>
      </c>
      <c r="L34" s="65">
        <f>L35+L36+L40+L42+L43</f>
        <v>2506790.2999999998</v>
      </c>
      <c r="M34" s="66">
        <f t="shared" si="1"/>
        <v>17502055.440000001</v>
      </c>
    </row>
    <row r="35" spans="1:14">
      <c r="A35" s="233" t="s">
        <v>89</v>
      </c>
      <c r="B35" s="234"/>
      <c r="C35" s="234"/>
      <c r="D35" s="234"/>
      <c r="E35" s="234"/>
      <c r="F35" s="234"/>
      <c r="G35" s="234"/>
      <c r="H35" s="234"/>
      <c r="I35" s="235"/>
      <c r="J35" s="64">
        <f>34043728*28%</f>
        <v>9532243.8400000017</v>
      </c>
      <c r="K35" s="64">
        <f>M15*30%</f>
        <v>2183535.2999999998</v>
      </c>
      <c r="L35" s="64">
        <f>Q15*30%</f>
        <v>1421106.3</v>
      </c>
      <c r="M35" s="66">
        <f t="shared" si="1"/>
        <v>13136885.440000001</v>
      </c>
      <c r="N35" s="11"/>
    </row>
    <row r="36" spans="1:14">
      <c r="A36" s="164" t="s">
        <v>81</v>
      </c>
      <c r="B36" s="227"/>
      <c r="C36" s="227"/>
      <c r="D36" s="227"/>
      <c r="E36" s="227"/>
      <c r="F36" s="227"/>
      <c r="G36" s="227"/>
      <c r="H36" s="227"/>
      <c r="I36" s="165"/>
      <c r="J36" s="64">
        <f>SUM(J37:J39)</f>
        <v>729179.1</v>
      </c>
      <c r="K36" s="64">
        <f t="shared" ref="K36:L36" si="3">SUM(K37:K39)</f>
        <v>223082.1</v>
      </c>
      <c r="L36" s="64">
        <f t="shared" si="3"/>
        <v>394393</v>
      </c>
      <c r="M36" s="66">
        <f t="shared" si="1"/>
        <v>1346654.2</v>
      </c>
    </row>
    <row r="37" spans="1:14">
      <c r="A37" s="164" t="s">
        <v>82</v>
      </c>
      <c r="B37" s="227"/>
      <c r="C37" s="227"/>
      <c r="D37" s="227"/>
      <c r="E37" s="227"/>
      <c r="F37" s="227"/>
      <c r="G37" s="227"/>
      <c r="H37" s="227"/>
      <c r="I37" s="165"/>
      <c r="J37" s="13">
        <f>117549*90%</f>
        <v>105794.1</v>
      </c>
      <c r="K37" s="13">
        <f>56149*90%</f>
        <v>50534.1</v>
      </c>
      <c r="L37" s="13">
        <f>8370*90%</f>
        <v>7533</v>
      </c>
      <c r="M37" s="66">
        <f t="shared" si="1"/>
        <v>163861.20000000001</v>
      </c>
    </row>
    <row r="38" spans="1:14">
      <c r="A38" s="164" t="s">
        <v>83</v>
      </c>
      <c r="B38" s="227"/>
      <c r="C38" s="227"/>
      <c r="D38" s="227"/>
      <c r="E38" s="227"/>
      <c r="F38" s="227"/>
      <c r="G38" s="227"/>
      <c r="H38" s="227"/>
      <c r="I38" s="165"/>
      <c r="J38" s="13">
        <f>1014132*50%</f>
        <v>507066</v>
      </c>
      <c r="K38" s="13">
        <f>312206*50%</f>
        <v>156103</v>
      </c>
      <c r="L38" s="13">
        <f>765820*50%</f>
        <v>382910</v>
      </c>
      <c r="M38" s="66">
        <f t="shared" si="1"/>
        <v>1046079</v>
      </c>
    </row>
    <row r="39" spans="1:14">
      <c r="A39" s="164" t="s">
        <v>84</v>
      </c>
      <c r="B39" s="227"/>
      <c r="C39" s="227"/>
      <c r="D39" s="227"/>
      <c r="E39" s="227"/>
      <c r="F39" s="227"/>
      <c r="G39" s="227"/>
      <c r="H39" s="227"/>
      <c r="I39" s="165"/>
      <c r="J39" s="13">
        <v>116319</v>
      </c>
      <c r="K39" s="13">
        <v>16445</v>
      </c>
      <c r="L39" s="13">
        <v>3950</v>
      </c>
      <c r="M39" s="66">
        <f t="shared" si="1"/>
        <v>136714</v>
      </c>
    </row>
    <row r="40" spans="1:14">
      <c r="A40" s="164" t="s">
        <v>90</v>
      </c>
      <c r="B40" s="227"/>
      <c r="C40" s="227"/>
      <c r="D40" s="227"/>
      <c r="E40" s="227"/>
      <c r="F40" s="227"/>
      <c r="G40" s="227"/>
      <c r="H40" s="227"/>
      <c r="I40" s="165"/>
      <c r="J40" s="13">
        <f>I16</f>
        <v>114400</v>
      </c>
      <c r="K40" s="13">
        <f>M16</f>
        <v>106080</v>
      </c>
      <c r="L40" s="13">
        <f>Q16</f>
        <v>98800</v>
      </c>
      <c r="M40" s="66">
        <f t="shared" si="1"/>
        <v>319280</v>
      </c>
    </row>
    <row r="41" spans="1:14">
      <c r="A41" s="164" t="s">
        <v>91</v>
      </c>
      <c r="B41" s="227"/>
      <c r="C41" s="227"/>
      <c r="D41" s="227"/>
      <c r="E41" s="227"/>
      <c r="F41" s="227"/>
      <c r="G41" s="227"/>
      <c r="H41" s="227"/>
      <c r="I41" s="165"/>
      <c r="J41" s="13"/>
      <c r="K41" s="13"/>
      <c r="L41" s="13"/>
      <c r="M41" s="66">
        <f t="shared" si="1"/>
        <v>0</v>
      </c>
    </row>
    <row r="42" spans="1:14">
      <c r="A42" s="228" t="s">
        <v>92</v>
      </c>
      <c r="B42" s="163"/>
      <c r="C42" s="163"/>
      <c r="D42" s="163"/>
      <c r="E42" s="163"/>
      <c r="F42" s="163"/>
      <c r="G42" s="163"/>
      <c r="H42" s="163"/>
      <c r="I42" s="229"/>
      <c r="J42" s="13">
        <v>320503</v>
      </c>
      <c r="K42" s="13">
        <f>166549</f>
        <v>166549</v>
      </c>
      <c r="L42" s="13">
        <v>77101</v>
      </c>
      <c r="M42" s="66">
        <f t="shared" si="1"/>
        <v>564153</v>
      </c>
    </row>
    <row r="43" spans="1:14">
      <c r="A43" s="164" t="s">
        <v>85</v>
      </c>
      <c r="B43" s="227"/>
      <c r="C43" s="227"/>
      <c r="D43" s="227"/>
      <c r="E43" s="227"/>
      <c r="F43" s="227"/>
      <c r="G43" s="227"/>
      <c r="H43" s="227"/>
      <c r="I43" s="165"/>
      <c r="J43" s="13">
        <f>(I7+I8+I13+I10)-J36-J42</f>
        <v>845968.89999999991</v>
      </c>
      <c r="K43" s="13">
        <f>(M7+M8+M13+M10)-K36-K42</f>
        <v>773723.9</v>
      </c>
      <c r="L43" s="13">
        <f>Q7+Q10+Q13-L36-L42+Q8</f>
        <v>515390</v>
      </c>
      <c r="M43" s="66">
        <f t="shared" si="1"/>
        <v>2135082.7999999998</v>
      </c>
    </row>
    <row r="44" spans="1:14">
      <c r="A44" s="242" t="s">
        <v>93</v>
      </c>
      <c r="B44" s="243"/>
      <c r="C44" s="243"/>
      <c r="D44" s="243"/>
      <c r="E44" s="243"/>
      <c r="F44" s="243"/>
      <c r="G44" s="243"/>
      <c r="H44" s="243"/>
      <c r="I44" s="244"/>
      <c r="J44" s="65">
        <f>J30+J34</f>
        <v>36510780</v>
      </c>
      <c r="K44" s="65">
        <f>K30+K34</f>
        <v>8677149</v>
      </c>
      <c r="L44" s="65">
        <f>L30+L34</f>
        <v>5965614</v>
      </c>
      <c r="M44" s="65">
        <f>SUM(H44:L44)</f>
        <v>51153543</v>
      </c>
    </row>
    <row r="45" spans="1:14">
      <c r="A45" s="164" t="s">
        <v>111</v>
      </c>
      <c r="B45" s="227"/>
      <c r="C45" s="227"/>
      <c r="D45" s="227"/>
      <c r="E45" s="227"/>
      <c r="F45" s="227"/>
      <c r="G45" s="227"/>
      <c r="H45" s="227"/>
      <c r="I45" s="165"/>
      <c r="J45" s="13">
        <f>J44/338</f>
        <v>108020.05917159763</v>
      </c>
      <c r="K45" s="13">
        <f>K44/73</f>
        <v>118865.05479452055</v>
      </c>
      <c r="L45" s="13">
        <f>L44/24</f>
        <v>248567.25</v>
      </c>
      <c r="M45" s="3"/>
    </row>
    <row r="46" spans="1:14">
      <c r="A46" s="5"/>
      <c r="B46" s="5"/>
      <c r="C46" s="5"/>
      <c r="D46" s="5"/>
      <c r="E46" s="5"/>
      <c r="F46" s="5"/>
      <c r="G46" s="5"/>
      <c r="H46" s="5"/>
      <c r="I46" s="5"/>
      <c r="J46" s="72"/>
      <c r="K46" s="72"/>
      <c r="L46" s="72"/>
      <c r="M46" s="14"/>
    </row>
    <row r="47" spans="1:14">
      <c r="A47" s="5"/>
      <c r="B47" s="5"/>
      <c r="C47" s="5"/>
      <c r="D47" s="5"/>
      <c r="E47" s="5"/>
      <c r="F47" s="5"/>
      <c r="G47" s="5"/>
      <c r="H47" s="5"/>
      <c r="I47" s="156"/>
      <c r="J47" s="56">
        <f>I17-I14</f>
        <v>36510780</v>
      </c>
      <c r="K47" s="8">
        <f>M17-M14</f>
        <v>8677149</v>
      </c>
      <c r="L47" s="56">
        <f>Q17-Q14</f>
        <v>5965614</v>
      </c>
      <c r="M47" s="30"/>
      <c r="N47" s="8"/>
    </row>
    <row r="48" spans="1:14">
      <c r="J48" s="4"/>
      <c r="K48" s="157"/>
      <c r="L48" s="56"/>
      <c r="M48" s="30"/>
    </row>
    <row r="49" spans="1:12" ht="16.5">
      <c r="K49" s="162" t="s">
        <v>191</v>
      </c>
    </row>
    <row r="50" spans="1:12" ht="16.5">
      <c r="J50" t="s">
        <v>217</v>
      </c>
      <c r="K50" s="162"/>
    </row>
    <row r="51" spans="1:12">
      <c r="A51" s="280" t="s">
        <v>169</v>
      </c>
      <c r="B51" s="280"/>
      <c r="C51" s="280"/>
      <c r="D51" s="280"/>
      <c r="E51" s="280"/>
      <c r="F51" s="280"/>
      <c r="G51" s="280"/>
      <c r="H51" s="280"/>
      <c r="I51" s="280"/>
      <c r="J51" s="280"/>
      <c r="K51" s="280"/>
    </row>
    <row r="52" spans="1:12" ht="45" customHeight="1">
      <c r="A52" s="236" t="s">
        <v>203</v>
      </c>
      <c r="B52" s="237"/>
      <c r="C52" s="237"/>
      <c r="D52" s="237"/>
      <c r="E52" s="237"/>
      <c r="F52" s="237"/>
      <c r="G52" s="237"/>
      <c r="H52" s="237"/>
      <c r="I52" s="238"/>
      <c r="J52" s="303" t="s">
        <v>168</v>
      </c>
      <c r="K52" s="303"/>
    </row>
    <row r="53" spans="1:12">
      <c r="A53" s="236" t="s">
        <v>119</v>
      </c>
      <c r="B53" s="237"/>
      <c r="C53" s="237"/>
      <c r="D53" s="237"/>
      <c r="E53" s="237"/>
      <c r="F53" s="237"/>
      <c r="G53" s="237"/>
      <c r="H53" s="237"/>
      <c r="I53" s="238"/>
      <c r="J53" s="304">
        <f>SUM(J54:J56)</f>
        <v>24941951.050000001</v>
      </c>
      <c r="K53" s="304"/>
    </row>
    <row r="54" spans="1:12">
      <c r="A54" s="233" t="s">
        <v>88</v>
      </c>
      <c r="B54" s="234"/>
      <c r="C54" s="234"/>
      <c r="D54" s="234"/>
      <c r="E54" s="234"/>
      <c r="F54" s="234"/>
      <c r="G54" s="234"/>
      <c r="H54" s="234"/>
      <c r="I54" s="235"/>
      <c r="J54" s="296">
        <f>U15*55%</f>
        <v>22464074.050000001</v>
      </c>
      <c r="K54" s="296"/>
    </row>
    <row r="55" spans="1:12">
      <c r="A55" s="164" t="s">
        <v>86</v>
      </c>
      <c r="B55" s="227"/>
      <c r="C55" s="227"/>
      <c r="D55" s="227"/>
      <c r="E55" s="227"/>
      <c r="F55" s="227"/>
      <c r="G55" s="227"/>
      <c r="H55" s="227"/>
      <c r="I55" s="165"/>
      <c r="J55" s="296">
        <f>U11+U12</f>
        <v>1038285</v>
      </c>
      <c r="K55" s="296"/>
    </row>
    <row r="56" spans="1:12">
      <c r="A56" s="164" t="s">
        <v>85</v>
      </c>
      <c r="B56" s="227"/>
      <c r="C56" s="227"/>
      <c r="D56" s="227"/>
      <c r="E56" s="227"/>
      <c r="F56" s="227"/>
      <c r="G56" s="227"/>
      <c r="H56" s="227"/>
      <c r="I56" s="165"/>
      <c r="J56" s="296">
        <f>U4</f>
        <v>1439592</v>
      </c>
      <c r="K56" s="296"/>
    </row>
    <row r="57" spans="1:12">
      <c r="A57" s="230" t="s">
        <v>87</v>
      </c>
      <c r="B57" s="231"/>
      <c r="C57" s="231"/>
      <c r="D57" s="231"/>
      <c r="E57" s="231"/>
      <c r="F57" s="231"/>
      <c r="G57" s="231"/>
      <c r="H57" s="231"/>
      <c r="I57" s="232"/>
      <c r="J57" s="297">
        <f>J58+J59+J63+J65+J66</f>
        <v>23092021.949999999</v>
      </c>
      <c r="K57" s="297"/>
    </row>
    <row r="58" spans="1:12">
      <c r="A58" s="233" t="s">
        <v>89</v>
      </c>
      <c r="B58" s="234"/>
      <c r="C58" s="234"/>
      <c r="D58" s="234"/>
      <c r="E58" s="234"/>
      <c r="F58" s="234"/>
      <c r="G58" s="234"/>
      <c r="H58" s="234"/>
      <c r="I58" s="235"/>
      <c r="J58" s="296">
        <f>U15*45%</f>
        <v>18379696.949999999</v>
      </c>
      <c r="K58" s="296"/>
      <c r="L58" s="11"/>
    </row>
    <row r="59" spans="1:12">
      <c r="A59" s="164" t="s">
        <v>81</v>
      </c>
      <c r="B59" s="227"/>
      <c r="C59" s="227"/>
      <c r="D59" s="227"/>
      <c r="E59" s="227"/>
      <c r="F59" s="227"/>
      <c r="G59" s="227"/>
      <c r="H59" s="227"/>
      <c r="I59" s="165"/>
      <c r="J59" s="300">
        <f>J60+J61+J62</f>
        <v>1063219.7</v>
      </c>
      <c r="K59" s="300"/>
    </row>
    <row r="60" spans="1:12">
      <c r="A60" s="164" t="s">
        <v>82</v>
      </c>
      <c r="B60" s="227"/>
      <c r="C60" s="227"/>
      <c r="D60" s="227"/>
      <c r="E60" s="227"/>
      <c r="F60" s="227"/>
      <c r="G60" s="227"/>
      <c r="H60" s="227"/>
      <c r="I60" s="165"/>
      <c r="J60" s="296">
        <f>236788*90%</f>
        <v>213109.2</v>
      </c>
      <c r="K60" s="296"/>
    </row>
    <row r="61" spans="1:12">
      <c r="A61" s="164" t="s">
        <v>83</v>
      </c>
      <c r="B61" s="227"/>
      <c r="C61" s="227"/>
      <c r="D61" s="227"/>
      <c r="E61" s="227"/>
      <c r="F61" s="227"/>
      <c r="G61" s="227"/>
      <c r="H61" s="227"/>
      <c r="I61" s="165"/>
      <c r="J61" s="296">
        <f>1678489*50%</f>
        <v>839244.5</v>
      </c>
      <c r="K61" s="296"/>
    </row>
    <row r="62" spans="1:12">
      <c r="A62" s="164" t="s">
        <v>84</v>
      </c>
      <c r="B62" s="227"/>
      <c r="C62" s="227"/>
      <c r="D62" s="227"/>
      <c r="E62" s="227"/>
      <c r="F62" s="227"/>
      <c r="G62" s="227"/>
      <c r="H62" s="227"/>
      <c r="I62" s="165"/>
      <c r="J62" s="296">
        <v>10866</v>
      </c>
      <c r="K62" s="296"/>
    </row>
    <row r="63" spans="1:12">
      <c r="A63" s="164" t="s">
        <v>90</v>
      </c>
      <c r="B63" s="227"/>
      <c r="C63" s="227"/>
      <c r="D63" s="227"/>
      <c r="E63" s="227"/>
      <c r="F63" s="227"/>
      <c r="G63" s="227"/>
      <c r="H63" s="227"/>
      <c r="I63" s="165"/>
      <c r="J63" s="296">
        <f>U16</f>
        <v>1095396</v>
      </c>
      <c r="K63" s="296"/>
    </row>
    <row r="64" spans="1:12">
      <c r="A64" s="164" t="s">
        <v>91</v>
      </c>
      <c r="B64" s="227"/>
      <c r="C64" s="227"/>
      <c r="D64" s="227"/>
      <c r="E64" s="227"/>
      <c r="F64" s="227"/>
      <c r="G64" s="227"/>
      <c r="H64" s="227"/>
      <c r="I64" s="165"/>
      <c r="J64" s="296">
        <f>M41</f>
        <v>0</v>
      </c>
      <c r="K64" s="296"/>
    </row>
    <row r="65" spans="1:13">
      <c r="A65" s="228" t="s">
        <v>92</v>
      </c>
      <c r="B65" s="163"/>
      <c r="C65" s="163"/>
      <c r="D65" s="163"/>
      <c r="E65" s="163"/>
      <c r="F65" s="163"/>
      <c r="G65" s="163"/>
      <c r="H65" s="163"/>
      <c r="I65" s="229"/>
      <c r="J65" s="296">
        <v>418886</v>
      </c>
      <c r="K65" s="296"/>
    </row>
    <row r="66" spans="1:13">
      <c r="A66" s="164" t="s">
        <v>85</v>
      </c>
      <c r="B66" s="227"/>
      <c r="C66" s="227"/>
      <c r="D66" s="227"/>
      <c r="E66" s="227"/>
      <c r="F66" s="227"/>
      <c r="G66" s="227"/>
      <c r="H66" s="227"/>
      <c r="I66" s="165"/>
      <c r="J66" s="296">
        <f>U7+U8+U10+U13-J60-J61-J65-J62</f>
        <v>2134823.2999999998</v>
      </c>
      <c r="K66" s="296"/>
    </row>
    <row r="67" spans="1:13">
      <c r="A67" s="242" t="s">
        <v>93</v>
      </c>
      <c r="B67" s="243"/>
      <c r="C67" s="243"/>
      <c r="D67" s="243"/>
      <c r="E67" s="243"/>
      <c r="F67" s="243"/>
      <c r="G67" s="243"/>
      <c r="H67" s="243"/>
      <c r="I67" s="244"/>
      <c r="J67" s="297">
        <f>J53+J57</f>
        <v>48033973</v>
      </c>
      <c r="K67" s="297"/>
    </row>
    <row r="68" spans="1:13">
      <c r="A68" s="164" t="s">
        <v>112</v>
      </c>
      <c r="B68" s="227"/>
      <c r="C68" s="227"/>
      <c r="D68" s="227"/>
      <c r="E68" s="227"/>
      <c r="F68" s="227"/>
      <c r="G68" s="227"/>
      <c r="H68" s="227"/>
      <c r="I68" s="165"/>
      <c r="J68" s="305">
        <f>J67/R18</f>
        <v>644.75131543624161</v>
      </c>
      <c r="K68" s="306"/>
    </row>
    <row r="69" spans="1:13">
      <c r="K69">
        <f>U17-U14</f>
        <v>48033973</v>
      </c>
    </row>
    <row r="70" spans="1:13">
      <c r="J70" s="30"/>
      <c r="K70" s="11">
        <f>J67-K69</f>
        <v>0</v>
      </c>
      <c r="L70" s="30"/>
      <c r="M70" s="30"/>
    </row>
    <row r="71" spans="1:13">
      <c r="J71" s="4"/>
      <c r="K71" s="4"/>
      <c r="L71" s="30"/>
      <c r="M71" s="30"/>
    </row>
    <row r="72" spans="1:13" ht="16.5">
      <c r="K72" s="162" t="s">
        <v>192</v>
      </c>
    </row>
    <row r="73" spans="1:13" ht="16.5">
      <c r="J73" t="s">
        <v>217</v>
      </c>
      <c r="K73" s="162"/>
    </row>
    <row r="74" spans="1:13">
      <c r="A74" s="280" t="s">
        <v>171</v>
      </c>
      <c r="B74" s="280"/>
      <c r="C74" s="280"/>
      <c r="D74" s="280"/>
      <c r="E74" s="280"/>
      <c r="F74" s="280"/>
      <c r="G74" s="280"/>
      <c r="H74" s="280"/>
      <c r="I74" s="280"/>
      <c r="J74" s="280"/>
      <c r="K74" s="280"/>
    </row>
    <row r="75" spans="1:13" ht="46.5" customHeight="1">
      <c r="A75" s="236" t="s">
        <v>203</v>
      </c>
      <c r="B75" s="237"/>
      <c r="C75" s="237"/>
      <c r="D75" s="237"/>
      <c r="E75" s="237"/>
      <c r="F75" s="237"/>
      <c r="G75" s="237"/>
      <c r="H75" s="237"/>
      <c r="I75" s="238"/>
      <c r="J75" s="303" t="s">
        <v>170</v>
      </c>
      <c r="K75" s="303"/>
    </row>
    <row r="76" spans="1:13">
      <c r="A76" s="236" t="s">
        <v>119</v>
      </c>
      <c r="B76" s="237"/>
      <c r="C76" s="237"/>
      <c r="D76" s="237"/>
      <c r="E76" s="237"/>
      <c r="F76" s="237"/>
      <c r="G76" s="237"/>
      <c r="H76" s="237"/>
      <c r="I76" s="238"/>
      <c r="J76" s="304">
        <f>SUM(J77:J79)</f>
        <v>5957614</v>
      </c>
      <c r="K76" s="304"/>
    </row>
    <row r="77" spans="1:13">
      <c r="A77" s="233" t="s">
        <v>88</v>
      </c>
      <c r="B77" s="234"/>
      <c r="C77" s="234"/>
      <c r="D77" s="234"/>
      <c r="E77" s="234"/>
      <c r="F77" s="234"/>
      <c r="G77" s="234"/>
      <c r="H77" s="234"/>
      <c r="I77" s="235"/>
      <c r="J77" s="301">
        <f>Y15*50%</f>
        <v>5867134</v>
      </c>
      <c r="K77" s="302"/>
    </row>
    <row r="78" spans="1:13">
      <c r="A78" s="164" t="s">
        <v>86</v>
      </c>
      <c r="B78" s="227"/>
      <c r="C78" s="227"/>
      <c r="D78" s="227"/>
      <c r="E78" s="227"/>
      <c r="F78" s="227"/>
      <c r="G78" s="227"/>
      <c r="H78" s="227"/>
      <c r="I78" s="165"/>
      <c r="J78" s="301">
        <f>Y11+Y12</f>
        <v>20800</v>
      </c>
      <c r="K78" s="302"/>
    </row>
    <row r="79" spans="1:13">
      <c r="A79" s="164" t="s">
        <v>85</v>
      </c>
      <c r="B79" s="227"/>
      <c r="C79" s="227"/>
      <c r="D79" s="227"/>
      <c r="E79" s="227"/>
      <c r="F79" s="227"/>
      <c r="G79" s="227"/>
      <c r="H79" s="227"/>
      <c r="I79" s="165"/>
      <c r="J79" s="301">
        <f>Y4</f>
        <v>69680</v>
      </c>
      <c r="K79" s="302"/>
    </row>
    <row r="80" spans="1:13">
      <c r="A80" s="230" t="s">
        <v>87</v>
      </c>
      <c r="B80" s="231"/>
      <c r="C80" s="231"/>
      <c r="D80" s="231"/>
      <c r="E80" s="231"/>
      <c r="F80" s="231"/>
      <c r="G80" s="231"/>
      <c r="H80" s="231"/>
      <c r="I80" s="232"/>
      <c r="J80" s="294">
        <f>J81+J82+J86+J87+J88+J89</f>
        <v>7193566</v>
      </c>
      <c r="K80" s="295"/>
    </row>
    <row r="81" spans="1:12">
      <c r="A81" s="233" t="s">
        <v>89</v>
      </c>
      <c r="B81" s="234"/>
      <c r="C81" s="234"/>
      <c r="D81" s="234"/>
      <c r="E81" s="234"/>
      <c r="F81" s="234"/>
      <c r="G81" s="234"/>
      <c r="H81" s="234"/>
      <c r="I81" s="235"/>
      <c r="J81" s="300">
        <f>Y15*50%</f>
        <v>5867134</v>
      </c>
      <c r="K81" s="300"/>
      <c r="L81" s="11"/>
    </row>
    <row r="82" spans="1:12">
      <c r="A82" s="164" t="s">
        <v>81</v>
      </c>
      <c r="B82" s="227"/>
      <c r="C82" s="227"/>
      <c r="D82" s="227"/>
      <c r="E82" s="227"/>
      <c r="F82" s="227"/>
      <c r="G82" s="227"/>
      <c r="H82" s="227"/>
      <c r="I82" s="165"/>
      <c r="J82" s="300">
        <f>SUM(J83:K85)</f>
        <v>467109.4</v>
      </c>
      <c r="K82" s="300"/>
      <c r="L82" s="11"/>
    </row>
    <row r="83" spans="1:12">
      <c r="A83" s="164" t="s">
        <v>82</v>
      </c>
      <c r="B83" s="227"/>
      <c r="C83" s="227"/>
      <c r="D83" s="227"/>
      <c r="E83" s="227"/>
      <c r="F83" s="227"/>
      <c r="G83" s="227"/>
      <c r="H83" s="227"/>
      <c r="I83" s="165"/>
      <c r="J83" s="296">
        <f>66346*90%</f>
        <v>59711.4</v>
      </c>
      <c r="K83" s="296"/>
    </row>
    <row r="84" spans="1:12">
      <c r="A84" s="164" t="s">
        <v>83</v>
      </c>
      <c r="B84" s="227"/>
      <c r="C84" s="227"/>
      <c r="D84" s="227"/>
      <c r="E84" s="227"/>
      <c r="F84" s="227"/>
      <c r="G84" s="227"/>
      <c r="H84" s="227"/>
      <c r="I84" s="165"/>
      <c r="J84" s="296">
        <f>750776*50%</f>
        <v>375388</v>
      </c>
      <c r="K84" s="296"/>
    </row>
    <row r="85" spans="1:12">
      <c r="A85" s="164" t="s">
        <v>84</v>
      </c>
      <c r="B85" s="227"/>
      <c r="C85" s="227"/>
      <c r="D85" s="227"/>
      <c r="E85" s="227"/>
      <c r="F85" s="227"/>
      <c r="G85" s="227"/>
      <c r="H85" s="227"/>
      <c r="I85" s="165"/>
      <c r="J85" s="296">
        <v>32010</v>
      </c>
      <c r="K85" s="296"/>
    </row>
    <row r="86" spans="1:12">
      <c r="A86" s="164" t="s">
        <v>90</v>
      </c>
      <c r="B86" s="227"/>
      <c r="C86" s="227"/>
      <c r="D86" s="227"/>
      <c r="E86" s="227"/>
      <c r="F86" s="227"/>
      <c r="G86" s="227"/>
      <c r="H86" s="227"/>
      <c r="I86" s="165"/>
      <c r="J86" s="296">
        <f>Y16</f>
        <v>109200</v>
      </c>
      <c r="K86" s="296"/>
    </row>
    <row r="87" spans="1:12">
      <c r="A87" s="164" t="s">
        <v>91</v>
      </c>
      <c r="B87" s="227"/>
      <c r="C87" s="227"/>
      <c r="D87" s="227"/>
      <c r="E87" s="227"/>
      <c r="F87" s="227"/>
      <c r="G87" s="227"/>
      <c r="H87" s="227"/>
      <c r="I87" s="165"/>
      <c r="J87" s="296">
        <f t="shared" ref="J87" si="4">M63</f>
        <v>0</v>
      </c>
      <c r="K87" s="296"/>
    </row>
    <row r="88" spans="1:12">
      <c r="A88" s="228" t="s">
        <v>92</v>
      </c>
      <c r="B88" s="163"/>
      <c r="C88" s="163"/>
      <c r="D88" s="163"/>
      <c r="E88" s="163"/>
      <c r="F88" s="163"/>
      <c r="G88" s="163"/>
      <c r="H88" s="163"/>
      <c r="I88" s="229"/>
      <c r="J88" s="296">
        <v>231737</v>
      </c>
      <c r="K88" s="296"/>
    </row>
    <row r="89" spans="1:12">
      <c r="A89" s="164" t="s">
        <v>85</v>
      </c>
      <c r="B89" s="227"/>
      <c r="C89" s="227"/>
      <c r="D89" s="227"/>
      <c r="E89" s="227"/>
      <c r="F89" s="227"/>
      <c r="G89" s="227"/>
      <c r="H89" s="227"/>
      <c r="I89" s="165"/>
      <c r="J89" s="296">
        <f>Y7+Y8+Y10+Y13-J83-J84-J85-J88</f>
        <v>518385.60000000009</v>
      </c>
      <c r="K89" s="296"/>
    </row>
    <row r="90" spans="1:12">
      <c r="A90" s="242" t="s">
        <v>93</v>
      </c>
      <c r="B90" s="243"/>
      <c r="C90" s="243"/>
      <c r="D90" s="243"/>
      <c r="E90" s="243"/>
      <c r="F90" s="243"/>
      <c r="G90" s="243"/>
      <c r="H90" s="243"/>
      <c r="I90" s="244"/>
      <c r="J90" s="297">
        <f>J76+J80</f>
        <v>13151180</v>
      </c>
      <c r="K90" s="297"/>
    </row>
    <row r="91" spans="1:12">
      <c r="A91" s="164" t="s">
        <v>117</v>
      </c>
      <c r="B91" s="227"/>
      <c r="C91" s="227"/>
      <c r="D91" s="227"/>
      <c r="E91" s="227"/>
      <c r="F91" s="227"/>
      <c r="G91" s="227"/>
      <c r="H91" s="227"/>
      <c r="I91" s="165"/>
      <c r="J91" s="298">
        <f>J90/9836</f>
        <v>1337.0455469703131</v>
      </c>
      <c r="K91" s="299"/>
    </row>
    <row r="92" spans="1:12">
      <c r="L92" s="11"/>
    </row>
    <row r="103" spans="1:15" ht="16.5">
      <c r="A103" s="30"/>
      <c r="B103" s="30"/>
      <c r="C103" s="30"/>
      <c r="D103" s="30"/>
      <c r="E103" s="30"/>
      <c r="F103" s="30"/>
      <c r="G103" s="30"/>
      <c r="H103" s="30"/>
      <c r="I103" s="56"/>
      <c r="J103" s="4"/>
      <c r="K103" s="162" t="s">
        <v>218</v>
      </c>
      <c r="L103" s="30"/>
      <c r="M103" s="30"/>
    </row>
    <row r="104" spans="1:15" ht="16.5">
      <c r="A104" s="30"/>
      <c r="B104" s="30"/>
      <c r="C104" s="30"/>
      <c r="D104" s="30"/>
      <c r="E104" s="30"/>
      <c r="F104" s="30"/>
      <c r="G104" s="30"/>
      <c r="H104" s="30"/>
      <c r="I104" s="56"/>
      <c r="J104" s="4"/>
      <c r="K104" s="162" t="s">
        <v>217</v>
      </c>
      <c r="L104" s="30"/>
      <c r="M104" s="30"/>
    </row>
    <row r="105" spans="1:15">
      <c r="A105" s="318" t="s">
        <v>214</v>
      </c>
      <c r="B105" s="319"/>
      <c r="C105" s="319"/>
      <c r="D105" s="319"/>
      <c r="E105" s="319"/>
      <c r="F105" s="319"/>
      <c r="G105" s="319"/>
      <c r="H105" s="319"/>
      <c r="I105" s="319"/>
      <c r="J105" s="319"/>
      <c r="K105" s="319"/>
      <c r="L105" s="319"/>
      <c r="M105" s="319"/>
      <c r="N105" s="319"/>
      <c r="O105" s="319"/>
    </row>
    <row r="106" spans="1:15" ht="30">
      <c r="A106" s="236" t="s">
        <v>203</v>
      </c>
      <c r="B106" s="237"/>
      <c r="C106" s="237"/>
      <c r="D106" s="237"/>
      <c r="E106" s="237"/>
      <c r="F106" s="237"/>
      <c r="G106" s="237"/>
      <c r="H106" s="237"/>
      <c r="I106" s="238"/>
      <c r="J106" s="136" t="s">
        <v>108</v>
      </c>
      <c r="K106" s="136" t="s">
        <v>109</v>
      </c>
      <c r="L106" s="18" t="s">
        <v>110</v>
      </c>
      <c r="M106" s="136" t="s">
        <v>212</v>
      </c>
      <c r="N106" s="2" t="s">
        <v>213</v>
      </c>
      <c r="O106" s="136" t="s">
        <v>93</v>
      </c>
    </row>
    <row r="107" spans="1:15">
      <c r="A107" s="236" t="s">
        <v>119</v>
      </c>
      <c r="B107" s="237"/>
      <c r="C107" s="237"/>
      <c r="D107" s="237"/>
      <c r="E107" s="237"/>
      <c r="F107" s="237"/>
      <c r="G107" s="237"/>
      <c r="H107" s="237"/>
      <c r="I107" s="238"/>
      <c r="J107" s="66">
        <f>SUM(J108:J110)</f>
        <v>202800</v>
      </c>
      <c r="K107" s="66">
        <f t="shared" ref="K107:L107" si="5">SUM(K108:K110)</f>
        <v>64771</v>
      </c>
      <c r="L107" s="66">
        <f t="shared" si="5"/>
        <v>32386</v>
      </c>
      <c r="M107" s="66">
        <f>M110</f>
        <v>152227</v>
      </c>
      <c r="N107" s="66">
        <f>N110</f>
        <v>26720</v>
      </c>
      <c r="O107" s="159">
        <f>J107+K107+L107+M107+N107</f>
        <v>478904</v>
      </c>
    </row>
    <row r="108" spans="1:15">
      <c r="A108" s="233" t="s">
        <v>88</v>
      </c>
      <c r="B108" s="234"/>
      <c r="C108" s="234"/>
      <c r="D108" s="234"/>
      <c r="E108" s="234"/>
      <c r="F108" s="234"/>
      <c r="G108" s="234"/>
      <c r="H108" s="234"/>
      <c r="I108" s="235"/>
      <c r="J108" s="13"/>
      <c r="K108" s="13">
        <f>M92*70%</f>
        <v>0</v>
      </c>
      <c r="L108" s="13">
        <f>Q92*70%</f>
        <v>0</v>
      </c>
      <c r="M108" s="158">
        <f t="shared" ref="M108:M111" si="6">SUM(J108:L108)</f>
        <v>0</v>
      </c>
      <c r="N108" s="2"/>
      <c r="O108" s="2"/>
    </row>
    <row r="109" spans="1:15">
      <c r="A109" s="164" t="s">
        <v>86</v>
      </c>
      <c r="B109" s="227"/>
      <c r="C109" s="227"/>
      <c r="D109" s="227"/>
      <c r="E109" s="227"/>
      <c r="F109" s="227"/>
      <c r="G109" s="227"/>
      <c r="H109" s="227"/>
      <c r="I109" s="165"/>
      <c r="J109" s="13">
        <f>I88+I89</f>
        <v>0</v>
      </c>
      <c r="K109" s="13">
        <f>M88+M89</f>
        <v>0</v>
      </c>
      <c r="L109" s="13">
        <f>Q88+Q89</f>
        <v>0</v>
      </c>
      <c r="M109" s="158">
        <f t="shared" si="6"/>
        <v>0</v>
      </c>
      <c r="N109" s="2"/>
      <c r="O109" s="2"/>
    </row>
    <row r="110" spans="1:15">
      <c r="A110" s="164" t="s">
        <v>85</v>
      </c>
      <c r="B110" s="227"/>
      <c r="C110" s="227"/>
      <c r="D110" s="227"/>
      <c r="E110" s="227"/>
      <c r="F110" s="227"/>
      <c r="G110" s="227"/>
      <c r="H110" s="227"/>
      <c r="I110" s="165"/>
      <c r="J110" s="13">
        <f>I14</f>
        <v>202800</v>
      </c>
      <c r="K110" s="13">
        <f>M14</f>
        <v>64771</v>
      </c>
      <c r="L110" s="13">
        <f>Q14</f>
        <v>32386</v>
      </c>
      <c r="M110" s="33">
        <v>152227</v>
      </c>
      <c r="N110" s="2">
        <f>Y14</f>
        <v>26720</v>
      </c>
      <c r="O110" s="15">
        <f>SUM(J110:N110)</f>
        <v>478904</v>
      </c>
    </row>
    <row r="111" spans="1:15">
      <c r="A111" s="230" t="s">
        <v>87</v>
      </c>
      <c r="B111" s="231"/>
      <c r="C111" s="231"/>
      <c r="D111" s="231"/>
      <c r="E111" s="231"/>
      <c r="F111" s="231"/>
      <c r="G111" s="231"/>
      <c r="H111" s="231"/>
      <c r="I111" s="232"/>
      <c r="J111" s="65"/>
      <c r="K111" s="65">
        <f t="shared" ref="K111" si="7">K112+K113+K117+K119+K120</f>
        <v>0</v>
      </c>
      <c r="L111" s="65">
        <f>L112+L113+L117+L119+L120</f>
        <v>0</v>
      </c>
      <c r="M111" s="66">
        <f t="shared" si="6"/>
        <v>0</v>
      </c>
      <c r="N111" s="159"/>
      <c r="O111" s="159"/>
    </row>
    <row r="112" spans="1:15">
      <c r="A112" s="233" t="s">
        <v>89</v>
      </c>
      <c r="B112" s="234"/>
      <c r="C112" s="234"/>
      <c r="D112" s="234"/>
      <c r="E112" s="234"/>
      <c r="F112" s="234"/>
      <c r="G112" s="234"/>
      <c r="H112" s="234"/>
      <c r="I112" s="235"/>
      <c r="J112" s="90"/>
      <c r="K112" s="90"/>
      <c r="L112" s="90"/>
      <c r="M112" s="70"/>
      <c r="N112" s="2"/>
      <c r="O112" s="2"/>
    </row>
    <row r="113" spans="1:15">
      <c r="A113" s="164" t="s">
        <v>81</v>
      </c>
      <c r="B113" s="227"/>
      <c r="C113" s="227"/>
      <c r="D113" s="227"/>
      <c r="E113" s="227"/>
      <c r="F113" s="227"/>
      <c r="G113" s="227"/>
      <c r="H113" s="227"/>
      <c r="I113" s="165"/>
      <c r="J113" s="90"/>
      <c r="K113" s="90"/>
      <c r="L113" s="90"/>
      <c r="M113" s="70"/>
      <c r="N113" s="2"/>
      <c r="O113" s="2"/>
    </row>
    <row r="114" spans="1:15">
      <c r="A114" s="164" t="s">
        <v>82</v>
      </c>
      <c r="B114" s="227"/>
      <c r="C114" s="227"/>
      <c r="D114" s="227"/>
      <c r="E114" s="227"/>
      <c r="F114" s="227"/>
      <c r="G114" s="227"/>
      <c r="H114" s="227"/>
      <c r="I114" s="165"/>
      <c r="J114" s="13"/>
      <c r="K114" s="13"/>
      <c r="L114" s="13"/>
      <c r="M114" s="70"/>
      <c r="N114" s="2"/>
      <c r="O114" s="2"/>
    </row>
    <row r="115" spans="1:15">
      <c r="A115" s="164" t="s">
        <v>83</v>
      </c>
      <c r="B115" s="227"/>
      <c r="C115" s="227"/>
      <c r="D115" s="227"/>
      <c r="E115" s="227"/>
      <c r="F115" s="227"/>
      <c r="G115" s="227"/>
      <c r="H115" s="227"/>
      <c r="I115" s="165"/>
      <c r="J115" s="13"/>
      <c r="K115" s="13"/>
      <c r="L115" s="13"/>
      <c r="M115" s="70"/>
      <c r="N115" s="2"/>
      <c r="O115" s="2"/>
    </row>
    <row r="116" spans="1:15">
      <c r="A116" s="164" t="s">
        <v>84</v>
      </c>
      <c r="B116" s="227"/>
      <c r="C116" s="227"/>
      <c r="D116" s="227"/>
      <c r="E116" s="227"/>
      <c r="F116" s="227"/>
      <c r="G116" s="227"/>
      <c r="H116" s="227"/>
      <c r="I116" s="165"/>
      <c r="J116" s="13"/>
      <c r="K116" s="13"/>
      <c r="L116" s="13"/>
      <c r="M116" s="70"/>
      <c r="N116" s="2"/>
      <c r="O116" s="2"/>
    </row>
    <row r="117" spans="1:15">
      <c r="A117" s="164" t="s">
        <v>90</v>
      </c>
      <c r="B117" s="227"/>
      <c r="C117" s="227"/>
      <c r="D117" s="227"/>
      <c r="E117" s="227"/>
      <c r="F117" s="227"/>
      <c r="G117" s="227"/>
      <c r="H117" s="227"/>
      <c r="I117" s="165"/>
      <c r="J117" s="13"/>
      <c r="K117" s="13"/>
      <c r="L117" s="13"/>
      <c r="M117" s="70"/>
      <c r="N117" s="2"/>
      <c r="O117" s="2"/>
    </row>
    <row r="118" spans="1:15">
      <c r="A118" s="164" t="s">
        <v>91</v>
      </c>
      <c r="B118" s="227"/>
      <c r="C118" s="227"/>
      <c r="D118" s="227"/>
      <c r="E118" s="227"/>
      <c r="F118" s="227"/>
      <c r="G118" s="227"/>
      <c r="H118" s="227"/>
      <c r="I118" s="165"/>
      <c r="J118" s="13"/>
      <c r="K118" s="13"/>
      <c r="L118" s="13"/>
      <c r="M118" s="70"/>
      <c r="N118" s="2"/>
      <c r="O118" s="2"/>
    </row>
    <row r="119" spans="1:15">
      <c r="A119" s="228" t="s">
        <v>92</v>
      </c>
      <c r="B119" s="163"/>
      <c r="C119" s="163"/>
      <c r="D119" s="163"/>
      <c r="E119" s="163"/>
      <c r="F119" s="163"/>
      <c r="G119" s="163"/>
      <c r="H119" s="163"/>
      <c r="I119" s="229"/>
      <c r="J119" s="13"/>
      <c r="K119" s="13"/>
      <c r="L119" s="13"/>
      <c r="M119" s="70"/>
      <c r="N119" s="2"/>
      <c r="O119" s="2"/>
    </row>
    <row r="120" spans="1:15">
      <c r="A120" s="164" t="s">
        <v>85</v>
      </c>
      <c r="B120" s="227"/>
      <c r="C120" s="227"/>
      <c r="D120" s="227"/>
      <c r="E120" s="227"/>
      <c r="F120" s="227"/>
      <c r="G120" s="227"/>
      <c r="H120" s="227"/>
      <c r="I120" s="165"/>
      <c r="J120" s="13"/>
      <c r="K120" s="13"/>
      <c r="L120" s="13"/>
      <c r="M120" s="70"/>
      <c r="N120" s="2"/>
      <c r="O120" s="2"/>
    </row>
    <row r="121" spans="1:15">
      <c r="A121" s="242" t="s">
        <v>93</v>
      </c>
      <c r="B121" s="243"/>
      <c r="C121" s="243"/>
      <c r="D121" s="243"/>
      <c r="E121" s="243"/>
      <c r="F121" s="243"/>
      <c r="G121" s="243"/>
      <c r="H121" s="243"/>
      <c r="I121" s="244"/>
      <c r="J121" s="65">
        <f>J107+J111</f>
        <v>202800</v>
      </c>
      <c r="K121" s="65">
        <f>K107+K111</f>
        <v>64771</v>
      </c>
      <c r="L121" s="65">
        <f>L107+L111</f>
        <v>32386</v>
      </c>
      <c r="M121" s="65">
        <f t="shared" ref="M121:O121" si="8">M107+M111</f>
        <v>152227</v>
      </c>
      <c r="N121" s="65">
        <f t="shared" si="8"/>
        <v>26720</v>
      </c>
      <c r="O121" s="65">
        <f t="shared" si="8"/>
        <v>478904</v>
      </c>
    </row>
    <row r="122" spans="1:15">
      <c r="A122" s="164" t="s">
        <v>111</v>
      </c>
      <c r="B122" s="227"/>
      <c r="C122" s="227"/>
      <c r="D122" s="227"/>
      <c r="E122" s="227"/>
      <c r="F122" s="227"/>
      <c r="G122" s="227"/>
      <c r="H122" s="227"/>
      <c r="I122" s="165"/>
      <c r="J122" s="13">
        <f>J121/338</f>
        <v>600</v>
      </c>
      <c r="K122" s="13">
        <f>K121/73</f>
        <v>887.27397260273972</v>
      </c>
      <c r="L122" s="13">
        <f>L121/24</f>
        <v>1349.4166666666667</v>
      </c>
      <c r="M122" s="160">
        <f>M121/R18</f>
        <v>2.0433154362416106</v>
      </c>
      <c r="N122" s="6">
        <f>N121/9836</f>
        <v>2.7165514436762912</v>
      </c>
      <c r="O122" s="2"/>
    </row>
    <row r="123" spans="1:15">
      <c r="J123" s="11">
        <f>J44+J121</f>
        <v>36713580</v>
      </c>
      <c r="K123" s="11">
        <f>K44+K121</f>
        <v>8741920</v>
      </c>
      <c r="L123" s="11">
        <f>L44+L121</f>
        <v>5998000</v>
      </c>
      <c r="M123" s="11">
        <f>J67+M121</f>
        <v>48186200</v>
      </c>
      <c r="N123" s="11">
        <f>J90+N121</f>
        <v>13177900</v>
      </c>
      <c r="O123" s="11">
        <f>SUM(J123:N123)</f>
        <v>112817600</v>
      </c>
    </row>
    <row r="128" spans="1:15">
      <c r="A128" s="317" t="s">
        <v>209</v>
      </c>
      <c r="B128" s="317"/>
      <c r="C128" s="317"/>
      <c r="D128" s="317"/>
      <c r="E128" s="317"/>
      <c r="F128" s="317"/>
    </row>
    <row r="129" spans="2:6">
      <c r="B129" t="s">
        <v>204</v>
      </c>
      <c r="F129">
        <f>'школы 2020 кМЗ'!O269</f>
        <v>43045957</v>
      </c>
    </row>
    <row r="130" spans="2:6">
      <c r="B130" t="s">
        <v>205</v>
      </c>
      <c r="F130">
        <f>'Дсады 2020 к МЗ'!O67</f>
        <v>64482319.999999993</v>
      </c>
    </row>
    <row r="131" spans="2:6">
      <c r="B131" t="s">
        <v>206</v>
      </c>
      <c r="F131" s="8">
        <f>'доп.обр.2020 к МЗ'!M166</f>
        <v>134004734.03</v>
      </c>
    </row>
    <row r="132" spans="2:6">
      <c r="B132" t="s">
        <v>207</v>
      </c>
      <c r="F132" s="11">
        <f>O123</f>
        <v>112817600</v>
      </c>
    </row>
    <row r="133" spans="2:6">
      <c r="B133" s="131" t="s">
        <v>210</v>
      </c>
      <c r="C133" s="131"/>
      <c r="D133" s="131"/>
      <c r="E133" s="131"/>
      <c r="F133" s="131">
        <f>SUM(F129:F132)</f>
        <v>354350611.02999997</v>
      </c>
    </row>
  </sheetData>
  <mergeCells count="133">
    <mergeCell ref="A119:I119"/>
    <mergeCell ref="A120:I120"/>
    <mergeCell ref="A121:I121"/>
    <mergeCell ref="A122:I122"/>
    <mergeCell ref="A105:O105"/>
    <mergeCell ref="A113:I113"/>
    <mergeCell ref="A114:I114"/>
    <mergeCell ref="A115:I115"/>
    <mergeCell ref="A116:I116"/>
    <mergeCell ref="A117:I117"/>
    <mergeCell ref="A118:I118"/>
    <mergeCell ref="A107:I107"/>
    <mergeCell ref="A108:I108"/>
    <mergeCell ref="A109:I109"/>
    <mergeCell ref="A110:I110"/>
    <mergeCell ref="A111:I111"/>
    <mergeCell ref="A112:I112"/>
    <mergeCell ref="A90:I90"/>
    <mergeCell ref="J90:K90"/>
    <mergeCell ref="A91:I91"/>
    <mergeCell ref="J91:K91"/>
    <mergeCell ref="A106:I106"/>
    <mergeCell ref="A87:I87"/>
    <mergeCell ref="J87:K87"/>
    <mergeCell ref="A88:I88"/>
    <mergeCell ref="J88:K88"/>
    <mergeCell ref="A89:I89"/>
    <mergeCell ref="J89:K89"/>
    <mergeCell ref="A84:I84"/>
    <mergeCell ref="J84:K84"/>
    <mergeCell ref="A85:I85"/>
    <mergeCell ref="J85:K85"/>
    <mergeCell ref="A86:I86"/>
    <mergeCell ref="J86:K86"/>
    <mergeCell ref="A81:I81"/>
    <mergeCell ref="J81:K81"/>
    <mergeCell ref="A82:I82"/>
    <mergeCell ref="J82:K82"/>
    <mergeCell ref="A83:I83"/>
    <mergeCell ref="J83:K83"/>
    <mergeCell ref="A78:I78"/>
    <mergeCell ref="J78:K78"/>
    <mergeCell ref="A79:I79"/>
    <mergeCell ref="J79:K79"/>
    <mergeCell ref="A80:I80"/>
    <mergeCell ref="J80:K80"/>
    <mergeCell ref="A74:K74"/>
    <mergeCell ref="A75:I75"/>
    <mergeCell ref="J75:K75"/>
    <mergeCell ref="A76:I76"/>
    <mergeCell ref="J76:K76"/>
    <mergeCell ref="A77:I77"/>
    <mergeCell ref="J77:K77"/>
    <mergeCell ref="A66:I66"/>
    <mergeCell ref="J66:K66"/>
    <mergeCell ref="A67:I67"/>
    <mergeCell ref="J67:K67"/>
    <mergeCell ref="A68:I68"/>
    <mergeCell ref="J68:K68"/>
    <mergeCell ref="A63:I63"/>
    <mergeCell ref="J63:K63"/>
    <mergeCell ref="A64:I64"/>
    <mergeCell ref="J64:K64"/>
    <mergeCell ref="A65:I65"/>
    <mergeCell ref="J65:K65"/>
    <mergeCell ref="A61:I61"/>
    <mergeCell ref="J61:K61"/>
    <mergeCell ref="A62:I62"/>
    <mergeCell ref="J62:K62"/>
    <mergeCell ref="A57:I57"/>
    <mergeCell ref="J57:K57"/>
    <mergeCell ref="A58:I58"/>
    <mergeCell ref="J58:K58"/>
    <mergeCell ref="A59:I59"/>
    <mergeCell ref="J59:K59"/>
    <mergeCell ref="A56:I56"/>
    <mergeCell ref="J56:K56"/>
    <mergeCell ref="A45:I45"/>
    <mergeCell ref="A51:K51"/>
    <mergeCell ref="A52:I52"/>
    <mergeCell ref="J52:K52"/>
    <mergeCell ref="A53:I53"/>
    <mergeCell ref="J53:K53"/>
    <mergeCell ref="A60:I60"/>
    <mergeCell ref="J60:K60"/>
    <mergeCell ref="A34:I34"/>
    <mergeCell ref="A35:I35"/>
    <mergeCell ref="A36:I36"/>
    <mergeCell ref="A37:I37"/>
    <mergeCell ref="A38:I38"/>
    <mergeCell ref="A54:I54"/>
    <mergeCell ref="J54:K54"/>
    <mergeCell ref="A55:I55"/>
    <mergeCell ref="J55:K55"/>
    <mergeCell ref="R2:U2"/>
    <mergeCell ref="V2:Y2"/>
    <mergeCell ref="A4:C4"/>
    <mergeCell ref="A5:C5"/>
    <mergeCell ref="A6:C6"/>
    <mergeCell ref="A7:C7"/>
    <mergeCell ref="A17:C17"/>
    <mergeCell ref="A28:M28"/>
    <mergeCell ref="A29:I29"/>
    <mergeCell ref="A11:C11"/>
    <mergeCell ref="A12:C12"/>
    <mergeCell ref="A13:C13"/>
    <mergeCell ref="A14:C14"/>
    <mergeCell ref="A15:C15"/>
    <mergeCell ref="A16:C16"/>
    <mergeCell ref="K1:P1"/>
    <mergeCell ref="A2:C3"/>
    <mergeCell ref="D2:D3"/>
    <mergeCell ref="E2:E3"/>
    <mergeCell ref="F2:I2"/>
    <mergeCell ref="J2:M2"/>
    <mergeCell ref="N2:Q2"/>
    <mergeCell ref="A128:F128"/>
    <mergeCell ref="A8:C8"/>
    <mergeCell ref="I8:I9"/>
    <mergeCell ref="M8:M9"/>
    <mergeCell ref="Q8:Q9"/>
    <mergeCell ref="A9:C9"/>
    <mergeCell ref="A10:C10"/>
    <mergeCell ref="A30:I30"/>
    <mergeCell ref="A31:I31"/>
    <mergeCell ref="A32:I32"/>
    <mergeCell ref="A39:I39"/>
    <mergeCell ref="A40:I40"/>
    <mergeCell ref="A41:I41"/>
    <mergeCell ref="A42:I42"/>
    <mergeCell ref="A43:I43"/>
    <mergeCell ref="A44:I44"/>
    <mergeCell ref="A33:I33"/>
  </mergeCells>
  <pageMargins left="0.70866141732283472" right="0.70866141732283472" top="0.74803149606299213" bottom="0.74803149606299213" header="0.31496062992125984" footer="0.31496062992125984"/>
  <pageSetup paperSize="9" scale="50" fitToHeight="0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3:T170"/>
  <sheetViews>
    <sheetView topLeftCell="A159" workbookViewId="0">
      <selection activeCell="A145" sqref="A145:N166"/>
    </sheetView>
  </sheetViews>
  <sheetFormatPr defaultRowHeight="15"/>
  <cols>
    <col min="10" max="10" width="11.28515625" customWidth="1"/>
    <col min="11" max="11" width="11.5703125" bestFit="1" customWidth="1"/>
    <col min="12" max="12" width="15.5703125" bestFit="1" customWidth="1"/>
    <col min="13" max="13" width="13.42578125" customWidth="1"/>
    <col min="14" max="14" width="11.28515625" customWidth="1"/>
    <col min="15" max="15" width="10.5703125" bestFit="1" customWidth="1"/>
    <col min="18" max="18" width="11.140625" customWidth="1"/>
    <col min="19" max="19" width="13.140625" customWidth="1"/>
  </cols>
  <sheetData>
    <row r="3" spans="1:19" ht="16.5">
      <c r="K3" s="316" t="s">
        <v>208</v>
      </c>
      <c r="L3" s="316"/>
      <c r="M3" s="316"/>
      <c r="N3" s="316"/>
      <c r="O3" s="316"/>
      <c r="P3" s="316"/>
    </row>
    <row r="4" spans="1:19">
      <c r="A4" s="208" t="s">
        <v>2</v>
      </c>
      <c r="B4" s="210" t="s">
        <v>22</v>
      </c>
      <c r="C4" s="211"/>
      <c r="D4" s="212"/>
      <c r="E4" s="216" t="s">
        <v>0</v>
      </c>
      <c r="F4" s="218" t="s">
        <v>55</v>
      </c>
      <c r="G4" s="169" t="s">
        <v>19</v>
      </c>
      <c r="H4" s="169"/>
      <c r="I4" s="169"/>
      <c r="J4" s="169"/>
      <c r="K4" s="169" t="s">
        <v>20</v>
      </c>
      <c r="L4" s="169"/>
      <c r="M4" s="169"/>
      <c r="N4" s="169"/>
      <c r="O4" s="205" t="s">
        <v>21</v>
      </c>
      <c r="P4" s="206"/>
      <c r="Q4" s="206"/>
      <c r="R4" s="207"/>
      <c r="S4" s="218" t="s">
        <v>58</v>
      </c>
    </row>
    <row r="5" spans="1:19" ht="38.25">
      <c r="A5" s="209"/>
      <c r="B5" s="213"/>
      <c r="C5" s="214"/>
      <c r="D5" s="215"/>
      <c r="E5" s="217"/>
      <c r="F5" s="219"/>
      <c r="G5" s="137" t="s">
        <v>56</v>
      </c>
      <c r="H5" s="137" t="s">
        <v>9</v>
      </c>
      <c r="I5" s="137" t="s">
        <v>10</v>
      </c>
      <c r="J5" s="137" t="s">
        <v>16</v>
      </c>
      <c r="K5" s="137" t="s">
        <v>8</v>
      </c>
      <c r="L5" s="137" t="s">
        <v>64</v>
      </c>
      <c r="M5" s="137" t="s">
        <v>10</v>
      </c>
      <c r="N5" s="137" t="s">
        <v>16</v>
      </c>
      <c r="O5" s="137" t="s">
        <v>8</v>
      </c>
      <c r="P5" s="137" t="s">
        <v>64</v>
      </c>
      <c r="Q5" s="137" t="s">
        <v>1</v>
      </c>
      <c r="R5" s="137" t="s">
        <v>16</v>
      </c>
      <c r="S5" s="219"/>
    </row>
    <row r="6" spans="1:19">
      <c r="A6" s="19" t="s">
        <v>6</v>
      </c>
      <c r="B6" s="194" t="s">
        <v>23</v>
      </c>
      <c r="C6" s="195"/>
      <c r="D6" s="196"/>
      <c r="E6" s="20" t="s">
        <v>24</v>
      </c>
      <c r="F6" s="50"/>
      <c r="G6" s="21">
        <v>63</v>
      </c>
      <c r="H6" s="43"/>
      <c r="I6" s="21"/>
      <c r="J6" s="68">
        <v>963791</v>
      </c>
      <c r="K6" s="21">
        <v>442</v>
      </c>
      <c r="L6" s="50"/>
      <c r="M6" s="21"/>
      <c r="N6" s="68">
        <f>870430-N7</f>
        <v>720430</v>
      </c>
      <c r="O6" s="21">
        <v>654</v>
      </c>
      <c r="P6" s="50"/>
      <c r="Q6" s="21"/>
      <c r="R6" s="44">
        <f>1329603-R7</f>
        <v>829603</v>
      </c>
      <c r="S6" s="43">
        <f t="shared" ref="S6:S19" si="0">J6+N6+R6</f>
        <v>2513824</v>
      </c>
    </row>
    <row r="7" spans="1:19">
      <c r="A7" s="19" t="s">
        <v>13</v>
      </c>
      <c r="B7" s="194" t="s">
        <v>30</v>
      </c>
      <c r="C7" s="195"/>
      <c r="D7" s="196"/>
      <c r="E7" s="20" t="s">
        <v>24</v>
      </c>
      <c r="F7" s="50"/>
      <c r="G7" s="21">
        <v>33</v>
      </c>
      <c r="H7" s="43"/>
      <c r="I7" s="21"/>
      <c r="J7" s="43"/>
      <c r="K7" s="21"/>
      <c r="L7" s="50"/>
      <c r="M7" s="21"/>
      <c r="N7" s="43">
        <v>150000</v>
      </c>
      <c r="O7" s="21"/>
      <c r="P7" s="50"/>
      <c r="Q7" s="21"/>
      <c r="R7" s="44">
        <v>500000</v>
      </c>
      <c r="S7" s="43">
        <f t="shared" si="0"/>
        <v>650000</v>
      </c>
    </row>
    <row r="8" spans="1:19">
      <c r="A8" s="19" t="s">
        <v>14</v>
      </c>
      <c r="B8" s="197" t="s">
        <v>198</v>
      </c>
      <c r="C8" s="198"/>
      <c r="D8" s="199"/>
      <c r="E8" s="20" t="s">
        <v>24</v>
      </c>
      <c r="F8" s="50"/>
      <c r="G8" s="21">
        <v>55</v>
      </c>
      <c r="H8" s="43"/>
      <c r="I8" s="21"/>
      <c r="J8" s="43"/>
      <c r="K8" s="21"/>
      <c r="L8" s="50"/>
      <c r="M8" s="21"/>
      <c r="N8" s="43"/>
      <c r="O8" s="21"/>
      <c r="P8" s="50"/>
      <c r="Q8" s="21"/>
      <c r="R8" s="44">
        <v>647712</v>
      </c>
      <c r="S8" s="43">
        <f t="shared" si="0"/>
        <v>647712</v>
      </c>
    </row>
    <row r="9" spans="1:19">
      <c r="A9" s="19" t="s">
        <v>17</v>
      </c>
      <c r="B9" s="223" t="s">
        <v>51</v>
      </c>
      <c r="C9" s="223"/>
      <c r="D9" s="223"/>
      <c r="E9" s="20" t="s">
        <v>24</v>
      </c>
      <c r="F9" s="50"/>
      <c r="G9" s="21">
        <v>15</v>
      </c>
      <c r="H9" s="43"/>
      <c r="I9" s="21"/>
      <c r="J9" s="68">
        <v>995371</v>
      </c>
      <c r="K9" s="21"/>
      <c r="L9" s="50"/>
      <c r="M9" s="21"/>
      <c r="N9" s="68">
        <v>515770</v>
      </c>
      <c r="O9" s="21"/>
      <c r="P9" s="50"/>
      <c r="Q9" s="21"/>
      <c r="R9" s="44">
        <v>6340884</v>
      </c>
      <c r="S9" s="43">
        <f t="shared" si="0"/>
        <v>7852025</v>
      </c>
    </row>
    <row r="10" spans="1:19">
      <c r="A10" s="19" t="s">
        <v>34</v>
      </c>
      <c r="B10" s="223" t="s">
        <v>54</v>
      </c>
      <c r="C10" s="223"/>
      <c r="D10" s="223"/>
      <c r="E10" s="20" t="s">
        <v>24</v>
      </c>
      <c r="F10" s="50"/>
      <c r="G10" s="45">
        <v>14</v>
      </c>
      <c r="H10" s="46"/>
      <c r="I10" s="21"/>
      <c r="J10" s="68">
        <v>257201.36</v>
      </c>
      <c r="K10" s="21"/>
      <c r="L10" s="50"/>
      <c r="M10" s="21"/>
      <c r="N10" s="48">
        <v>280800</v>
      </c>
      <c r="O10" s="21"/>
      <c r="P10" s="50"/>
      <c r="Q10" s="21"/>
      <c r="R10" s="47">
        <v>426400</v>
      </c>
      <c r="S10" s="43">
        <f t="shared" si="0"/>
        <v>964401.36</v>
      </c>
    </row>
    <row r="11" spans="1:19">
      <c r="A11" s="19" t="s">
        <v>36</v>
      </c>
      <c r="B11" s="223" t="s">
        <v>57</v>
      </c>
      <c r="C11" s="223"/>
      <c r="D11" s="223"/>
      <c r="E11" s="20" t="s">
        <v>24</v>
      </c>
      <c r="F11" s="50"/>
      <c r="G11">
        <f>SUM(G6:G10)</f>
        <v>180</v>
      </c>
      <c r="H11" s="21"/>
      <c r="I11" s="21"/>
      <c r="J11" s="43"/>
      <c r="K11" s="21"/>
      <c r="L11" s="50"/>
      <c r="M11" s="21"/>
      <c r="N11" s="43"/>
      <c r="O11" s="21"/>
      <c r="P11" s="50"/>
      <c r="Q11" s="21"/>
      <c r="R11" s="47"/>
      <c r="S11" s="43">
        <f t="shared" si="0"/>
        <v>0</v>
      </c>
    </row>
    <row r="12" spans="1:19">
      <c r="A12" s="27" t="s">
        <v>38</v>
      </c>
      <c r="B12" s="184" t="s">
        <v>35</v>
      </c>
      <c r="C12" s="185"/>
      <c r="D12" s="186"/>
      <c r="E12" s="142" t="s">
        <v>24</v>
      </c>
      <c r="F12" s="116"/>
      <c r="G12" s="25"/>
      <c r="H12" s="48"/>
      <c r="I12" s="25"/>
      <c r="J12" s="105">
        <f>386216.8+83200</f>
        <v>469416.8</v>
      </c>
      <c r="K12" s="23"/>
      <c r="L12" s="116"/>
      <c r="M12" s="25"/>
      <c r="N12" s="48">
        <f>297148+208000</f>
        <v>505148</v>
      </c>
      <c r="O12" s="25"/>
      <c r="P12" s="116"/>
      <c r="Q12" s="25"/>
      <c r="R12" s="49">
        <f>572000+127900</f>
        <v>699900</v>
      </c>
      <c r="S12" s="43">
        <f t="shared" si="0"/>
        <v>1674464.8</v>
      </c>
    </row>
    <row r="13" spans="1:19">
      <c r="A13" s="19" t="s">
        <v>40</v>
      </c>
      <c r="B13" s="174" t="s">
        <v>37</v>
      </c>
      <c r="C13" s="175"/>
      <c r="D13" s="176"/>
      <c r="E13" s="142" t="s">
        <v>24</v>
      </c>
      <c r="F13" s="51"/>
      <c r="G13" s="21"/>
      <c r="H13" s="43"/>
      <c r="I13" s="21"/>
      <c r="J13" s="68">
        <v>156000</v>
      </c>
      <c r="K13" s="51"/>
      <c r="L13" s="50"/>
      <c r="M13" s="51"/>
      <c r="N13" s="68">
        <v>181430</v>
      </c>
      <c r="O13" s="51"/>
      <c r="P13" s="50"/>
      <c r="Q13" s="51"/>
      <c r="R13" s="50">
        <v>254150.2</v>
      </c>
      <c r="S13" s="43">
        <f t="shared" si="0"/>
        <v>591580.19999999995</v>
      </c>
    </row>
    <row r="14" spans="1:19">
      <c r="A14" s="19" t="s">
        <v>42</v>
      </c>
      <c r="B14" s="174" t="s">
        <v>39</v>
      </c>
      <c r="C14" s="175"/>
      <c r="D14" s="176"/>
      <c r="E14" s="142" t="s">
        <v>24</v>
      </c>
      <c r="F14" s="51"/>
      <c r="G14" s="21"/>
      <c r="H14" s="43"/>
      <c r="I14" s="21"/>
      <c r="J14" s="68">
        <v>221017.56</v>
      </c>
      <c r="K14" s="51"/>
      <c r="L14" s="50"/>
      <c r="M14" s="51"/>
      <c r="N14" s="68">
        <v>124706</v>
      </c>
      <c r="O14" s="51"/>
      <c r="P14" s="50"/>
      <c r="Q14" s="51"/>
      <c r="R14" s="50">
        <v>452383.8</v>
      </c>
      <c r="S14" s="43">
        <f t="shared" si="0"/>
        <v>798107.36</v>
      </c>
    </row>
    <row r="15" spans="1:19">
      <c r="A15" s="19" t="s">
        <v>44</v>
      </c>
      <c r="B15" s="177" t="s">
        <v>41</v>
      </c>
      <c r="C15" s="178"/>
      <c r="D15" s="179"/>
      <c r="E15" s="142" t="s">
        <v>24</v>
      </c>
      <c r="F15" s="51"/>
      <c r="G15" s="21"/>
      <c r="H15" s="43"/>
      <c r="I15" s="21"/>
      <c r="J15" s="68">
        <v>841272</v>
      </c>
      <c r="K15" s="51"/>
      <c r="L15" s="50"/>
      <c r="M15" s="51"/>
      <c r="N15" s="50">
        <v>30236</v>
      </c>
      <c r="O15" s="51"/>
      <c r="P15" s="50"/>
      <c r="Q15" s="51"/>
      <c r="R15" s="68">
        <v>5643122</v>
      </c>
      <c r="S15" s="43">
        <f t="shared" si="0"/>
        <v>6514630</v>
      </c>
    </row>
    <row r="16" spans="1:19">
      <c r="A16" s="19">
        <v>11</v>
      </c>
      <c r="B16" s="180" t="s">
        <v>46</v>
      </c>
      <c r="C16" s="180"/>
      <c r="D16" s="180"/>
      <c r="E16" s="142" t="s">
        <v>24</v>
      </c>
      <c r="F16" s="51"/>
      <c r="G16" s="21"/>
      <c r="H16" s="43"/>
      <c r="I16" s="21"/>
      <c r="J16" s="68">
        <v>173973.28</v>
      </c>
      <c r="K16" s="21"/>
      <c r="L16" s="50"/>
      <c r="M16" s="21"/>
      <c r="N16" s="68">
        <v>166400</v>
      </c>
      <c r="O16" s="21"/>
      <c r="P16" s="50"/>
      <c r="Q16" s="21"/>
      <c r="R16" s="43">
        <f>572000+2176000</f>
        <v>2748000</v>
      </c>
      <c r="S16" s="43">
        <f t="shared" si="0"/>
        <v>3088373.2800000003</v>
      </c>
    </row>
    <row r="17" spans="1:19">
      <c r="A17" s="19" t="s">
        <v>49</v>
      </c>
      <c r="B17" s="181" t="s">
        <v>153</v>
      </c>
      <c r="C17" s="182"/>
      <c r="D17" s="183"/>
      <c r="E17" s="142"/>
      <c r="F17" s="51"/>
      <c r="G17" s="21"/>
      <c r="H17" s="43"/>
      <c r="I17" s="140"/>
      <c r="J17" s="43"/>
      <c r="K17" s="21"/>
      <c r="L17" s="50"/>
      <c r="M17" s="21"/>
      <c r="N17" s="43">
        <v>403728</v>
      </c>
      <c r="O17" s="42"/>
      <c r="P17" s="50"/>
      <c r="Q17" s="21"/>
      <c r="R17" s="43">
        <v>705106</v>
      </c>
      <c r="S17" s="43"/>
    </row>
    <row r="18" spans="1:19">
      <c r="A18" s="19" t="s">
        <v>50</v>
      </c>
      <c r="B18" s="181" t="s">
        <v>52</v>
      </c>
      <c r="C18" s="182"/>
      <c r="D18" s="183"/>
      <c r="E18" s="142" t="s">
        <v>24</v>
      </c>
      <c r="F18" s="51"/>
      <c r="G18" s="21"/>
      <c r="H18" s="2"/>
      <c r="I18" s="21"/>
      <c r="J18" s="68">
        <f>22227641+6601609</f>
        <v>28829250</v>
      </c>
      <c r="K18" s="21"/>
      <c r="L18" s="50"/>
      <c r="M18" s="21"/>
      <c r="N18" s="77">
        <v>28148080</v>
      </c>
      <c r="P18" s="50"/>
      <c r="Q18" s="21"/>
      <c r="R18" s="43">
        <v>50248145</v>
      </c>
      <c r="S18" s="43">
        <f t="shared" si="0"/>
        <v>107225475</v>
      </c>
    </row>
    <row r="19" spans="1:19">
      <c r="A19" s="19" t="s">
        <v>113</v>
      </c>
      <c r="B19" s="181" t="s">
        <v>59</v>
      </c>
      <c r="C19" s="182"/>
      <c r="D19" s="183"/>
      <c r="E19" s="142" t="s">
        <v>24</v>
      </c>
      <c r="F19" s="50"/>
      <c r="G19" s="21"/>
      <c r="H19" s="43"/>
      <c r="I19" s="21"/>
      <c r="J19" s="68">
        <v>78907</v>
      </c>
      <c r="K19" s="21"/>
      <c r="L19" s="50"/>
      <c r="M19" s="21"/>
      <c r="N19" s="77">
        <v>109200</v>
      </c>
      <c r="P19" s="50"/>
      <c r="Q19" s="21"/>
      <c r="R19" s="43">
        <v>187200</v>
      </c>
      <c r="S19" s="43">
        <f t="shared" si="0"/>
        <v>375307</v>
      </c>
    </row>
    <row r="20" spans="1:19">
      <c r="A20" s="52"/>
      <c r="B20" s="220" t="s">
        <v>60</v>
      </c>
      <c r="C20" s="221"/>
      <c r="D20" s="222"/>
      <c r="E20" s="29"/>
      <c r="F20" s="53"/>
      <c r="G20" s="29"/>
      <c r="H20" s="53"/>
      <c r="I20" s="29"/>
      <c r="J20" s="53">
        <f>SUM(J6:J19)</f>
        <v>32986200</v>
      </c>
      <c r="K20" s="29"/>
      <c r="L20" s="53"/>
      <c r="M20" s="29"/>
      <c r="N20" s="53">
        <f>SUM(N6:N19)</f>
        <v>31335928</v>
      </c>
      <c r="O20" s="29"/>
      <c r="P20" s="53"/>
      <c r="Q20" s="29"/>
      <c r="R20" s="53">
        <f>SUM(R6:R19)</f>
        <v>69682606</v>
      </c>
      <c r="S20" s="53">
        <f>J20+N20+R20</f>
        <v>134004734</v>
      </c>
    </row>
    <row r="21" spans="1:19">
      <c r="A21" s="23"/>
      <c r="B21" s="23" t="s">
        <v>63</v>
      </c>
      <c r="C21" s="23"/>
      <c r="D21" s="23"/>
      <c r="E21" s="23"/>
      <c r="F21" s="23"/>
      <c r="G21" s="23"/>
      <c r="H21" s="23"/>
      <c r="I21" s="23"/>
      <c r="J21" s="46">
        <f>J20/G6</f>
        <v>523590.47619047621</v>
      </c>
      <c r="K21" s="23"/>
      <c r="L21" s="23"/>
      <c r="M21" s="23"/>
      <c r="N21" s="46">
        <f>N20/K6</f>
        <v>70895.76470588235</v>
      </c>
      <c r="O21" s="46"/>
      <c r="P21" s="23"/>
      <c r="Q21" s="23"/>
      <c r="R21" s="46">
        <f>R20/O6</f>
        <v>106548.32721712538</v>
      </c>
      <c r="S21" s="46">
        <f>J20+N20+R20</f>
        <v>134004734</v>
      </c>
    </row>
    <row r="22" spans="1:19">
      <c r="A22" s="23"/>
      <c r="B22" s="23"/>
      <c r="C22" s="23"/>
      <c r="D22" s="23"/>
      <c r="E22" s="23"/>
      <c r="F22" s="23"/>
      <c r="G22" s="23"/>
      <c r="H22" s="23"/>
      <c r="I22" s="23"/>
      <c r="J22" s="46"/>
      <c r="K22" s="23"/>
      <c r="L22" s="23"/>
      <c r="M22" s="23"/>
      <c r="N22" s="46"/>
      <c r="O22" s="23"/>
      <c r="P22" s="23"/>
      <c r="Q22" s="23"/>
      <c r="R22" s="46"/>
      <c r="S22" s="46"/>
    </row>
    <row r="23" spans="1:19">
      <c r="A23" s="23"/>
      <c r="B23" s="23"/>
      <c r="C23" s="23"/>
      <c r="D23" s="23"/>
      <c r="E23" s="23"/>
      <c r="F23" s="23"/>
      <c r="G23" s="23"/>
      <c r="H23" s="23"/>
      <c r="I23" s="23"/>
      <c r="J23" s="46"/>
      <c r="K23" s="46"/>
      <c r="L23" s="23"/>
      <c r="M23" s="46"/>
      <c r="N23" s="46"/>
      <c r="O23" s="23"/>
      <c r="P23" s="23"/>
      <c r="Q23" s="23"/>
      <c r="R23" s="46">
        <f>69682606-R20</f>
        <v>0</v>
      </c>
      <c r="S23" s="46"/>
    </row>
    <row r="24" spans="1:19">
      <c r="A24" s="23"/>
      <c r="B24" s="23"/>
      <c r="C24" s="23"/>
      <c r="D24" s="23"/>
      <c r="E24" s="23"/>
      <c r="F24" s="23"/>
      <c r="G24" s="23"/>
      <c r="H24" s="23"/>
      <c r="I24" s="23"/>
      <c r="J24" s="46"/>
      <c r="K24" s="46"/>
      <c r="L24" s="23"/>
      <c r="M24" s="46"/>
      <c r="N24" s="46"/>
      <c r="O24" s="23"/>
      <c r="P24" s="23"/>
      <c r="Q24" s="23"/>
      <c r="R24" s="46"/>
      <c r="S24" s="46"/>
    </row>
    <row r="25" spans="1:19">
      <c r="A25" s="23"/>
      <c r="B25" s="23"/>
      <c r="C25" s="23"/>
      <c r="D25" s="23"/>
      <c r="E25" s="23"/>
      <c r="F25" s="23"/>
      <c r="G25" s="23"/>
      <c r="H25" s="23"/>
      <c r="I25" s="23"/>
      <c r="J25" s="46"/>
      <c r="K25" s="30"/>
      <c r="M25" s="30"/>
      <c r="N25" s="30"/>
      <c r="O25" s="23"/>
      <c r="P25" s="23"/>
      <c r="Q25" s="23"/>
      <c r="R25" s="46"/>
      <c r="S25" s="46"/>
    </row>
    <row r="26" spans="1:19" ht="16.5">
      <c r="A26" s="23"/>
      <c r="B26" s="23"/>
      <c r="C26" s="23"/>
      <c r="D26" s="23"/>
      <c r="E26" s="23"/>
      <c r="F26" s="23"/>
      <c r="G26" s="23"/>
      <c r="H26" s="23"/>
      <c r="I26" s="23"/>
      <c r="J26" s="46"/>
      <c r="K26" s="162" t="s">
        <v>184</v>
      </c>
      <c r="L26" s="4"/>
      <c r="M26" s="30"/>
      <c r="N26" s="30"/>
      <c r="O26" s="23"/>
      <c r="P26" s="23"/>
      <c r="Q26" s="23"/>
      <c r="R26" s="46"/>
      <c r="S26" s="46"/>
    </row>
    <row r="27" spans="1:19" ht="16.5">
      <c r="A27" s="23"/>
      <c r="B27" s="23"/>
      <c r="C27" s="23"/>
      <c r="D27" s="23"/>
      <c r="E27" s="23"/>
      <c r="F27" s="23"/>
      <c r="G27" s="23"/>
      <c r="H27" s="23"/>
      <c r="I27" s="23"/>
      <c r="J27" s="46"/>
      <c r="K27" s="162" t="s">
        <v>217</v>
      </c>
      <c r="L27" s="4"/>
      <c r="M27" s="30"/>
      <c r="N27" s="30"/>
      <c r="O27" s="23"/>
      <c r="P27" s="23"/>
      <c r="Q27" s="23"/>
      <c r="R27" s="46"/>
      <c r="S27" s="46"/>
    </row>
    <row r="28" spans="1:19" ht="24" customHeight="1">
      <c r="A28" s="224" t="s">
        <v>154</v>
      </c>
      <c r="B28" s="225"/>
      <c r="C28" s="225"/>
      <c r="D28" s="225"/>
      <c r="E28" s="225"/>
      <c r="F28" s="225"/>
      <c r="G28" s="225"/>
      <c r="H28" s="225"/>
      <c r="I28" s="225"/>
      <c r="J28" s="225"/>
      <c r="K28" s="225"/>
      <c r="L28" s="225"/>
      <c r="M28" s="225"/>
      <c r="N28" s="46"/>
      <c r="O28" s="23"/>
      <c r="P28" s="23"/>
      <c r="Q28" s="23"/>
      <c r="R28" s="46"/>
      <c r="S28" s="46"/>
    </row>
    <row r="29" spans="1:19" ht="30" customHeight="1">
      <c r="A29" s="291" t="s">
        <v>199</v>
      </c>
      <c r="B29" s="292"/>
      <c r="C29" s="292"/>
      <c r="D29" s="292"/>
      <c r="E29" s="292"/>
      <c r="F29" s="292"/>
      <c r="G29" s="292"/>
      <c r="H29" s="292"/>
      <c r="I29" s="293"/>
      <c r="J29" s="18" t="s">
        <v>104</v>
      </c>
      <c r="K29" s="18" t="s">
        <v>105</v>
      </c>
      <c r="L29" s="18" t="s">
        <v>106</v>
      </c>
      <c r="M29" s="18" t="s">
        <v>93</v>
      </c>
      <c r="N29" s="46"/>
      <c r="O29" s="23"/>
      <c r="P29" s="23"/>
      <c r="Q29" s="23"/>
      <c r="R29" s="46"/>
      <c r="S29" s="46"/>
    </row>
    <row r="30" spans="1:19">
      <c r="A30" s="236" t="s">
        <v>80</v>
      </c>
      <c r="B30" s="237"/>
      <c r="C30" s="237"/>
      <c r="D30" s="237"/>
      <c r="E30" s="237"/>
      <c r="F30" s="237"/>
      <c r="G30" s="237"/>
      <c r="H30" s="237"/>
      <c r="I30" s="238"/>
      <c r="J30" s="69">
        <f>SUM(J31:J33)</f>
        <v>7492437.5189999985</v>
      </c>
      <c r="K30" s="69">
        <f t="shared" ref="K30:L30" si="1">SUM(K31:K33)</f>
        <v>25268834</v>
      </c>
      <c r="L30" s="69">
        <f t="shared" si="1"/>
        <v>47495060.25</v>
      </c>
      <c r="M30" s="66">
        <f>SUM(J30:L30)</f>
        <v>80256331.768999994</v>
      </c>
      <c r="N30" s="46"/>
      <c r="O30" s="23"/>
      <c r="P30" s="23"/>
      <c r="Q30" s="23"/>
      <c r="R30" s="46"/>
      <c r="S30" s="46"/>
    </row>
    <row r="31" spans="1:19">
      <c r="A31" s="233" t="s">
        <v>88</v>
      </c>
      <c r="B31" s="234"/>
      <c r="C31" s="234"/>
      <c r="D31" s="234"/>
      <c r="E31" s="234"/>
      <c r="F31" s="234"/>
      <c r="G31" s="234"/>
      <c r="H31" s="234"/>
      <c r="I31" s="235"/>
      <c r="J31" s="3">
        <f>(J18/G11*G6)*69%</f>
        <v>6962263.8749999991</v>
      </c>
      <c r="K31" s="3">
        <f>28148080*85%</f>
        <v>23925868</v>
      </c>
      <c r="L31" s="3">
        <f>R18*85%</f>
        <v>42710923.25</v>
      </c>
      <c r="M31" s="70">
        <f t="shared" ref="M31:M33" si="2">SUM(J31:L31)</f>
        <v>73599055.125</v>
      </c>
      <c r="N31" s="46"/>
      <c r="O31" s="23"/>
      <c r="P31" s="30"/>
      <c r="Q31" s="30"/>
      <c r="R31" s="30"/>
      <c r="S31" s="30"/>
    </row>
    <row r="32" spans="1:19" ht="45" customHeight="1">
      <c r="A32" s="233" t="s">
        <v>161</v>
      </c>
      <c r="B32" s="234"/>
      <c r="C32" s="234"/>
      <c r="D32" s="234"/>
      <c r="E32" s="234"/>
      <c r="F32" s="234"/>
      <c r="G32" s="234"/>
      <c r="H32" s="234"/>
      <c r="I32" s="235"/>
      <c r="J32" s="9">
        <f>J6/G11*G6</f>
        <v>337326.85</v>
      </c>
      <c r="K32" s="13">
        <f>N13+N14</f>
        <v>306136</v>
      </c>
      <c r="L32" s="13">
        <f>R13+R14</f>
        <v>706534</v>
      </c>
      <c r="M32" s="70">
        <f t="shared" si="2"/>
        <v>1349996.85</v>
      </c>
      <c r="N32" s="46"/>
      <c r="O32" s="23"/>
      <c r="P32" s="4"/>
      <c r="Q32" s="4"/>
      <c r="R32" s="30"/>
      <c r="S32" s="30"/>
    </row>
    <row r="33" spans="1:20">
      <c r="A33" s="164" t="s">
        <v>85</v>
      </c>
      <c r="B33" s="227"/>
      <c r="C33" s="227"/>
      <c r="D33" s="227"/>
      <c r="E33" s="227"/>
      <c r="F33" s="227"/>
      <c r="G33" s="227"/>
      <c r="H33" s="227"/>
      <c r="I33" s="165"/>
      <c r="J33" s="13">
        <f>(J13+J14+J16)/G11*G6</f>
        <v>192846.79399999999</v>
      </c>
      <c r="K33" s="13">
        <f>N6+N16+N7</f>
        <v>1036830</v>
      </c>
      <c r="L33" s="13">
        <f>R6+R7+R16</f>
        <v>4077603</v>
      </c>
      <c r="M33" s="70">
        <f t="shared" si="2"/>
        <v>5307279.7939999998</v>
      </c>
      <c r="N33" s="46"/>
      <c r="O33" s="23"/>
    </row>
    <row r="34" spans="1:20">
      <c r="A34" s="230" t="s">
        <v>87</v>
      </c>
      <c r="B34" s="231"/>
      <c r="C34" s="231"/>
      <c r="D34" s="231"/>
      <c r="E34" s="231"/>
      <c r="F34" s="231"/>
      <c r="G34" s="231"/>
      <c r="H34" s="231"/>
      <c r="I34" s="232"/>
      <c r="J34" s="65">
        <f>J35+J36+J40+J42+J43</f>
        <v>4052732.4810000011</v>
      </c>
      <c r="K34" s="65">
        <f t="shared" ref="K34" si="3">K35+K36+K40+K42+K43</f>
        <v>5663366</v>
      </c>
      <c r="L34" s="65">
        <f>L35+L36+L40+L42+L43+L41</f>
        <v>21482439.75</v>
      </c>
      <c r="M34" s="65">
        <f>SUM(J34:L34)</f>
        <v>31198538.230999999</v>
      </c>
      <c r="N34" s="46"/>
      <c r="O34" s="23"/>
      <c r="P34" s="30"/>
      <c r="Q34" s="30"/>
      <c r="R34" s="30"/>
    </row>
    <row r="35" spans="1:20">
      <c r="A35" s="233" t="s">
        <v>89</v>
      </c>
      <c r="B35" s="234"/>
      <c r="C35" s="234"/>
      <c r="D35" s="234"/>
      <c r="E35" s="234"/>
      <c r="F35" s="234"/>
      <c r="G35" s="234"/>
      <c r="H35" s="234"/>
      <c r="I35" s="235"/>
      <c r="J35" s="64">
        <f>10090237.5-J31</f>
        <v>3127973.6250000009</v>
      </c>
      <c r="K35" s="64">
        <f>28148080*15%</f>
        <v>4222212</v>
      </c>
      <c r="L35" s="64">
        <f>R18*15%</f>
        <v>7537221.75</v>
      </c>
      <c r="M35" s="64">
        <f t="shared" ref="M35:M36" si="4">SUM(J35:L35)</f>
        <v>14887407.375</v>
      </c>
      <c r="N35" s="46"/>
      <c r="O35" s="46"/>
      <c r="P35" s="46"/>
      <c r="Q35" s="46"/>
      <c r="R35" s="46"/>
      <c r="S35" s="46"/>
      <c r="T35" s="145"/>
    </row>
    <row r="36" spans="1:20">
      <c r="A36" s="164" t="s">
        <v>81</v>
      </c>
      <c r="B36" s="227"/>
      <c r="C36" s="227"/>
      <c r="D36" s="227"/>
      <c r="E36" s="227"/>
      <c r="F36" s="227"/>
      <c r="G36" s="227"/>
      <c r="H36" s="227"/>
      <c r="I36" s="165"/>
      <c r="J36" s="64">
        <f>SUM(J37:J39)</f>
        <v>192133.69</v>
      </c>
      <c r="K36" s="64">
        <f t="shared" ref="K36:L36" si="5">SUM(K37:K39)</f>
        <v>304617.5</v>
      </c>
      <c r="L36" s="64">
        <f t="shared" si="5"/>
        <v>4399680.4000000004</v>
      </c>
      <c r="M36" s="64">
        <f t="shared" si="4"/>
        <v>4896431.5900000008</v>
      </c>
      <c r="N36" s="46"/>
      <c r="O36" s="46"/>
      <c r="P36" s="46"/>
      <c r="Q36" s="46"/>
      <c r="R36" s="46"/>
      <c r="S36" s="46"/>
      <c r="T36" s="145"/>
    </row>
    <row r="37" spans="1:20">
      <c r="A37" s="164" t="s">
        <v>82</v>
      </c>
      <c r="B37" s="227"/>
      <c r="C37" s="227"/>
      <c r="D37" s="227"/>
      <c r="E37" s="227"/>
      <c r="F37" s="227"/>
      <c r="G37" s="227"/>
      <c r="H37" s="227"/>
      <c r="I37" s="165"/>
      <c r="J37" s="13">
        <f>(18201*90%)/G11*G6</f>
        <v>5733.3149999999996</v>
      </c>
      <c r="K37" s="13">
        <f>73555*90%</f>
        <v>66199.5</v>
      </c>
      <c r="L37" s="13">
        <f>1222651*90%</f>
        <v>1100385.9000000001</v>
      </c>
      <c r="M37" s="13">
        <f>SUM(J37:L37)</f>
        <v>1172318.7150000001</v>
      </c>
      <c r="N37" s="46"/>
      <c r="O37" s="46"/>
      <c r="P37" s="46"/>
      <c r="Q37" s="46"/>
      <c r="R37" s="46"/>
      <c r="S37" s="46"/>
      <c r="T37" s="79"/>
    </row>
    <row r="38" spans="1:20">
      <c r="A38" s="164" t="s">
        <v>83</v>
      </c>
      <c r="B38" s="227"/>
      <c r="C38" s="227"/>
      <c r="D38" s="227"/>
      <c r="E38" s="227"/>
      <c r="F38" s="227"/>
      <c r="G38" s="227"/>
      <c r="H38" s="227"/>
      <c r="I38" s="165"/>
      <c r="J38" s="13">
        <f>(889195*50%)/G11*G6</f>
        <v>155609.125</v>
      </c>
      <c r="K38" s="13">
        <f>407594*50%</f>
        <v>203797</v>
      </c>
      <c r="L38" s="13">
        <f>3637877*50%</f>
        <v>1818938.5</v>
      </c>
      <c r="M38" s="13">
        <f>SUM(J38:L38)</f>
        <v>2178344.625</v>
      </c>
      <c r="N38" s="46"/>
      <c r="O38" s="46"/>
      <c r="P38" s="46"/>
      <c r="Q38" s="46"/>
      <c r="R38" s="46"/>
      <c r="S38" s="46"/>
      <c r="T38" s="79"/>
    </row>
    <row r="39" spans="1:20">
      <c r="A39" s="164" t="s">
        <v>84</v>
      </c>
      <c r="B39" s="227"/>
      <c r="C39" s="227"/>
      <c r="D39" s="227"/>
      <c r="E39" s="227"/>
      <c r="F39" s="227"/>
      <c r="G39" s="227"/>
      <c r="H39" s="227"/>
      <c r="I39" s="165"/>
      <c r="J39" s="13">
        <f>87975/G11*G6</f>
        <v>30791.25</v>
      </c>
      <c r="K39" s="13">
        <v>34621</v>
      </c>
      <c r="L39" s="13">
        <f>1480356</f>
        <v>1480356</v>
      </c>
      <c r="M39" s="13">
        <f>SUM(J39:L39)</f>
        <v>1545768.25</v>
      </c>
      <c r="N39" s="46"/>
      <c r="O39" s="46"/>
      <c r="P39" s="46"/>
      <c r="Q39" s="46"/>
      <c r="R39" s="46"/>
      <c r="S39" s="46"/>
      <c r="T39" s="79"/>
    </row>
    <row r="40" spans="1:20">
      <c r="A40" s="164" t="s">
        <v>90</v>
      </c>
      <c r="B40" s="227"/>
      <c r="C40" s="227"/>
      <c r="D40" s="227"/>
      <c r="E40" s="227"/>
      <c r="F40" s="227"/>
      <c r="G40" s="227"/>
      <c r="H40" s="227"/>
      <c r="I40" s="165"/>
      <c r="J40" s="13">
        <f>J19/G11*G6</f>
        <v>27617.45</v>
      </c>
      <c r="K40" s="13">
        <f>N19</f>
        <v>109200</v>
      </c>
      <c r="L40" s="13">
        <f>R19</f>
        <v>187200</v>
      </c>
      <c r="M40" s="13">
        <f>SUM(J40:L40)</f>
        <v>324017.45</v>
      </c>
      <c r="N40" s="46"/>
      <c r="O40" s="46"/>
      <c r="P40" s="46"/>
      <c r="Q40" s="46"/>
      <c r="R40" s="46"/>
      <c r="S40" s="46"/>
      <c r="T40" s="79"/>
    </row>
    <row r="41" spans="1:20">
      <c r="A41" s="164" t="s">
        <v>91</v>
      </c>
      <c r="B41" s="227"/>
      <c r="C41" s="227"/>
      <c r="D41" s="227"/>
      <c r="E41" s="227"/>
      <c r="F41" s="227"/>
      <c r="G41" s="227"/>
      <c r="H41" s="227"/>
      <c r="I41" s="165"/>
      <c r="J41" s="13"/>
      <c r="K41" s="13"/>
      <c r="L41" s="13">
        <f>R8</f>
        <v>647712</v>
      </c>
      <c r="M41" s="3"/>
      <c r="N41" s="46"/>
      <c r="O41" s="46"/>
      <c r="P41" s="46"/>
      <c r="Q41" s="46"/>
      <c r="R41" s="46"/>
      <c r="S41" s="46"/>
      <c r="T41" s="79"/>
    </row>
    <row r="42" spans="1:20" ht="45.75" customHeight="1">
      <c r="A42" s="228" t="s">
        <v>159</v>
      </c>
      <c r="B42" s="163"/>
      <c r="C42" s="163"/>
      <c r="D42" s="163"/>
      <c r="E42" s="163"/>
      <c r="F42" s="163"/>
      <c r="G42" s="163"/>
      <c r="H42" s="163"/>
      <c r="I42" s="229"/>
      <c r="J42" s="13">
        <v>93722.4</v>
      </c>
      <c r="K42" s="13">
        <f>315051</f>
        <v>315051</v>
      </c>
      <c r="L42" s="13">
        <f>512545</f>
        <v>512545</v>
      </c>
      <c r="M42" s="13">
        <f>SUM(J42:L42)</f>
        <v>921318.40000000002</v>
      </c>
      <c r="N42" s="46"/>
      <c r="O42" s="46"/>
      <c r="P42" s="46"/>
      <c r="Q42" s="46"/>
      <c r="R42" s="46"/>
      <c r="S42" s="46"/>
      <c r="T42" s="79"/>
    </row>
    <row r="43" spans="1:20" ht="104.25" customHeight="1">
      <c r="A43" s="233" t="s">
        <v>166</v>
      </c>
      <c r="B43" s="234"/>
      <c r="C43" s="234"/>
      <c r="D43" s="234"/>
      <c r="E43" s="234"/>
      <c r="F43" s="234"/>
      <c r="G43" s="234"/>
      <c r="H43" s="234"/>
      <c r="I43" s="235"/>
      <c r="J43" s="13">
        <f>(J9+J10+J12+J15+J19)/G11*G6-J37-J38-J39-J40-J42</f>
        <v>611285.31600000011</v>
      </c>
      <c r="K43" s="13">
        <f>(N9+N10+N12+N15+N19-K37-K38-K39-K40-K42)</f>
        <v>712285.5</v>
      </c>
      <c r="L43" s="13">
        <f>R9+R10+R12+R15-L36-L42</f>
        <v>8198080.5999999996</v>
      </c>
      <c r="M43" s="13">
        <f>SUM(J43:L43)</f>
        <v>9521651.4159999993</v>
      </c>
      <c r="N43" s="46"/>
      <c r="O43" s="46"/>
      <c r="P43" s="46"/>
      <c r="Q43" s="46"/>
      <c r="R43" s="46"/>
      <c r="S43" s="46"/>
      <c r="T43" s="79"/>
    </row>
    <row r="44" spans="1:20">
      <c r="A44" s="257" t="s">
        <v>93</v>
      </c>
      <c r="B44" s="258"/>
      <c r="C44" s="258"/>
      <c r="D44" s="258"/>
      <c r="E44" s="258"/>
      <c r="F44" s="258"/>
      <c r="G44" s="258"/>
      <c r="H44" s="258"/>
      <c r="I44" s="259"/>
      <c r="J44" s="63">
        <f>J30+J34</f>
        <v>11545170</v>
      </c>
      <c r="K44" s="63">
        <f>K30+K34</f>
        <v>30932200</v>
      </c>
      <c r="L44" s="63">
        <f>L30+L34</f>
        <v>68977500</v>
      </c>
      <c r="M44" s="63">
        <f>SUM(J44:L44)</f>
        <v>111454870</v>
      </c>
      <c r="N44" s="46"/>
      <c r="O44" s="46"/>
      <c r="P44" s="46"/>
      <c r="Q44" s="46"/>
      <c r="R44" s="46"/>
      <c r="S44" s="46"/>
      <c r="T44" s="79"/>
    </row>
    <row r="45" spans="1:20">
      <c r="A45" s="164" t="s">
        <v>107</v>
      </c>
      <c r="B45" s="227"/>
      <c r="C45" s="227"/>
      <c r="D45" s="227"/>
      <c r="E45" s="227"/>
      <c r="F45" s="227"/>
      <c r="G45" s="227"/>
      <c r="H45" s="227"/>
      <c r="I45" s="165"/>
      <c r="J45" s="13">
        <f>J44/G6</f>
        <v>183256.66666666666</v>
      </c>
      <c r="K45" s="13">
        <f>K44/K6</f>
        <v>69982.352941176476</v>
      </c>
      <c r="L45" s="13">
        <f>L44/O6</f>
        <v>105470.18348623853</v>
      </c>
      <c r="M45" s="13"/>
      <c r="N45" s="46"/>
      <c r="O45" s="46"/>
      <c r="P45" s="46"/>
      <c r="Q45" s="46"/>
      <c r="R45" s="46"/>
      <c r="S45" s="46"/>
      <c r="T45" s="79"/>
    </row>
    <row r="46" spans="1:20">
      <c r="A46" s="5"/>
      <c r="B46" s="5"/>
      <c r="C46" s="5"/>
      <c r="D46" s="5"/>
      <c r="E46" s="5"/>
      <c r="F46" s="5"/>
      <c r="G46" s="5"/>
      <c r="H46" s="5"/>
      <c r="I46" s="5"/>
      <c r="J46" s="72"/>
      <c r="K46" s="72">
        <f>N20-N17</f>
        <v>30932200</v>
      </c>
      <c r="L46" s="72">
        <f>R20-R17</f>
        <v>68977500</v>
      </c>
      <c r="M46" s="72"/>
      <c r="N46" s="46"/>
      <c r="O46" s="46"/>
      <c r="P46" s="46"/>
      <c r="Q46" s="46"/>
      <c r="R46" s="46"/>
      <c r="S46" s="46"/>
      <c r="T46" s="79"/>
    </row>
    <row r="47" spans="1:20">
      <c r="A47" s="5"/>
      <c r="B47" s="5"/>
      <c r="C47" s="5"/>
      <c r="D47" s="5"/>
      <c r="E47" s="5"/>
      <c r="F47" s="5"/>
      <c r="G47" s="5"/>
      <c r="H47" s="5"/>
      <c r="I47" s="5"/>
      <c r="J47" s="30"/>
      <c r="K47" s="11">
        <f>K46-K44</f>
        <v>0</v>
      </c>
      <c r="L47" s="161">
        <f>L46-L44</f>
        <v>0</v>
      </c>
      <c r="M47" s="30"/>
      <c r="N47" s="46"/>
      <c r="O47" s="46"/>
      <c r="P47" s="46"/>
      <c r="Q47" s="46"/>
      <c r="R47" s="46"/>
      <c r="S47" s="46"/>
      <c r="T47" s="79"/>
    </row>
    <row r="48" spans="1:20">
      <c r="A48" s="5"/>
      <c r="B48" s="5"/>
      <c r="C48" s="5"/>
      <c r="D48" s="5"/>
      <c r="E48" s="5"/>
      <c r="F48" s="5"/>
      <c r="G48" s="5"/>
      <c r="H48" s="5"/>
      <c r="I48" s="5"/>
      <c r="J48" s="4"/>
      <c r="K48" s="4"/>
      <c r="L48" s="30"/>
      <c r="M48" s="30"/>
      <c r="N48" s="46"/>
      <c r="O48" s="46"/>
      <c r="P48" s="46"/>
      <c r="Q48" s="46"/>
      <c r="R48" s="46"/>
      <c r="S48" s="46"/>
      <c r="T48" s="79"/>
    </row>
    <row r="49" spans="1:20" ht="16.5">
      <c r="A49" s="5"/>
      <c r="B49" s="5"/>
      <c r="C49" s="5"/>
      <c r="D49" s="5"/>
      <c r="E49" s="5"/>
      <c r="F49" s="5"/>
      <c r="G49" s="5"/>
      <c r="H49" s="5"/>
      <c r="I49" s="5"/>
      <c r="J49" s="72"/>
      <c r="K49" s="162" t="s">
        <v>185</v>
      </c>
      <c r="L49" s="72"/>
      <c r="M49" s="72"/>
      <c r="N49" s="46"/>
      <c r="O49" s="46"/>
      <c r="P49" s="46"/>
      <c r="Q49" s="46"/>
      <c r="R49" s="46"/>
      <c r="S49" s="46"/>
      <c r="T49" s="79"/>
    </row>
    <row r="50" spans="1:20" ht="16.5">
      <c r="A50" s="5"/>
      <c r="B50" s="5"/>
      <c r="C50" s="5"/>
      <c r="D50" s="5"/>
      <c r="E50" s="5"/>
      <c r="F50" s="5"/>
      <c r="G50" s="5"/>
      <c r="H50" s="5"/>
      <c r="I50" s="5"/>
      <c r="J50" s="72"/>
      <c r="K50" s="162" t="s">
        <v>217</v>
      </c>
      <c r="L50" s="72"/>
      <c r="M50" s="72"/>
      <c r="N50" s="46"/>
      <c r="O50" s="46"/>
      <c r="P50" s="46"/>
      <c r="Q50" s="46"/>
      <c r="R50" s="46"/>
      <c r="S50" s="46"/>
      <c r="T50" s="79"/>
    </row>
    <row r="51" spans="1:20">
      <c r="A51" s="280" t="s">
        <v>155</v>
      </c>
      <c r="B51" s="280"/>
      <c r="C51" s="280"/>
      <c r="D51" s="280"/>
      <c r="E51" s="280"/>
      <c r="F51" s="280"/>
      <c r="G51" s="280"/>
      <c r="H51" s="280"/>
      <c r="I51" s="280"/>
      <c r="J51" s="280"/>
      <c r="K51" s="280"/>
      <c r="L51" s="280"/>
      <c r="M51" s="280"/>
      <c r="N51" s="46"/>
      <c r="O51" s="46"/>
      <c r="P51" s="46"/>
      <c r="Q51" s="46"/>
      <c r="R51" s="46"/>
      <c r="S51" s="46"/>
    </row>
    <row r="52" spans="1:20" ht="37.5" customHeight="1">
      <c r="A52" s="282" t="s">
        <v>200</v>
      </c>
      <c r="B52" s="283"/>
      <c r="C52" s="283"/>
      <c r="D52" s="283"/>
      <c r="E52" s="283"/>
      <c r="F52" s="283"/>
      <c r="G52" s="283"/>
      <c r="H52" s="283"/>
      <c r="I52" s="284"/>
      <c r="J52" s="18" t="s">
        <v>104</v>
      </c>
      <c r="K52" s="18" t="s">
        <v>105</v>
      </c>
      <c r="L52" s="18" t="s">
        <v>106</v>
      </c>
      <c r="M52" s="18" t="s">
        <v>93</v>
      </c>
      <c r="N52" s="46"/>
      <c r="O52" s="46"/>
      <c r="P52" s="46"/>
      <c r="Q52" s="46"/>
      <c r="R52" s="46"/>
      <c r="S52" s="46"/>
    </row>
    <row r="53" spans="1:20">
      <c r="A53" s="236" t="s">
        <v>80</v>
      </c>
      <c r="B53" s="237"/>
      <c r="C53" s="237"/>
      <c r="D53" s="237"/>
      <c r="E53" s="237"/>
      <c r="F53" s="237"/>
      <c r="G53" s="237"/>
      <c r="H53" s="237"/>
      <c r="I53" s="238"/>
      <c r="J53" s="69">
        <f>SUM(J54:J56)</f>
        <v>4010845.0197000001</v>
      </c>
      <c r="K53" s="2"/>
      <c r="L53" s="2"/>
      <c r="M53" s="2">
        <f>SUM(J53:L53)</f>
        <v>4010845.0197000001</v>
      </c>
      <c r="N53" s="11"/>
    </row>
    <row r="54" spans="1:20">
      <c r="A54" s="233" t="s">
        <v>88</v>
      </c>
      <c r="B54" s="234"/>
      <c r="C54" s="234"/>
      <c r="D54" s="234"/>
      <c r="E54" s="234"/>
      <c r="F54" s="234"/>
      <c r="G54" s="234"/>
      <c r="H54" s="234"/>
      <c r="I54" s="235"/>
      <c r="J54" s="7">
        <f>5007185.53*69%+278177</f>
        <v>3733135.0156999999</v>
      </c>
      <c r="K54" s="2"/>
      <c r="L54" s="2"/>
      <c r="M54" s="2">
        <f t="shared" ref="M54:M66" si="6">SUM(J54:L54)</f>
        <v>3733135.0156999999</v>
      </c>
    </row>
    <row r="55" spans="1:20" ht="43.5" customHeight="1">
      <c r="A55" s="233" t="s">
        <v>161</v>
      </c>
      <c r="B55" s="234"/>
      <c r="C55" s="234"/>
      <c r="D55" s="234"/>
      <c r="E55" s="234"/>
      <c r="F55" s="234"/>
      <c r="G55" s="234"/>
      <c r="H55" s="234"/>
      <c r="I55" s="235"/>
      <c r="J55" s="108">
        <f>(J13+J14)/G11*G7</f>
        <v>69119.885999999999</v>
      </c>
      <c r="K55" s="2"/>
      <c r="L55" s="2"/>
      <c r="M55" s="2">
        <f t="shared" si="6"/>
        <v>69119.885999999999</v>
      </c>
    </row>
    <row r="56" spans="1:20">
      <c r="A56" s="164" t="s">
        <v>85</v>
      </c>
      <c r="B56" s="227"/>
      <c r="C56" s="227"/>
      <c r="D56" s="227"/>
      <c r="E56" s="227"/>
      <c r="F56" s="227"/>
      <c r="G56" s="227"/>
      <c r="H56" s="227"/>
      <c r="I56" s="165"/>
      <c r="J56" s="109">
        <f>(J6+J16)/G11*G7</f>
        <v>208590.11800000002</v>
      </c>
      <c r="K56" s="2"/>
      <c r="L56" s="2"/>
      <c r="M56" s="2">
        <f t="shared" si="6"/>
        <v>208590.11800000002</v>
      </c>
    </row>
    <row r="57" spans="1:20">
      <c r="A57" s="230" t="s">
        <v>87</v>
      </c>
      <c r="B57" s="231"/>
      <c r="C57" s="231"/>
      <c r="D57" s="231"/>
      <c r="E57" s="231"/>
      <c r="F57" s="231"/>
      <c r="G57" s="231"/>
      <c r="H57" s="231"/>
      <c r="I57" s="232"/>
      <c r="J57" s="110">
        <f>J58+J59+J63+J65+J66</f>
        <v>2036625.0103000007</v>
      </c>
      <c r="K57" s="15"/>
      <c r="L57" s="2"/>
      <c r="M57" s="2">
        <f t="shared" si="6"/>
        <v>2036625.0103000007</v>
      </c>
    </row>
    <row r="58" spans="1:20">
      <c r="A58" s="233" t="s">
        <v>89</v>
      </c>
      <c r="B58" s="234"/>
      <c r="C58" s="234"/>
      <c r="D58" s="234"/>
      <c r="E58" s="234"/>
      <c r="F58" s="234"/>
      <c r="G58" s="234"/>
      <c r="H58" s="234"/>
      <c r="I58" s="235"/>
      <c r="J58" s="111">
        <f>5007185.53*31%</f>
        <v>1552227.5143000002</v>
      </c>
      <c r="K58" s="2"/>
      <c r="L58" s="2"/>
      <c r="M58" s="2">
        <f t="shared" si="6"/>
        <v>1552227.5143000002</v>
      </c>
      <c r="N58" s="11"/>
    </row>
    <row r="59" spans="1:20">
      <c r="A59" s="164" t="s">
        <v>81</v>
      </c>
      <c r="B59" s="227"/>
      <c r="C59" s="227"/>
      <c r="D59" s="227"/>
      <c r="E59" s="227"/>
      <c r="F59" s="227"/>
      <c r="G59" s="227"/>
      <c r="H59" s="227"/>
      <c r="I59" s="165"/>
      <c r="J59" s="111">
        <f>SUM(J60:J62)</f>
        <v>100641.45666666667</v>
      </c>
      <c r="K59" s="2"/>
      <c r="L59" s="2"/>
      <c r="M59" s="2">
        <f t="shared" si="6"/>
        <v>100641.45666666667</v>
      </c>
    </row>
    <row r="60" spans="1:20">
      <c r="A60" s="164" t="s">
        <v>82</v>
      </c>
      <c r="B60" s="227"/>
      <c r="C60" s="227"/>
      <c r="D60" s="227"/>
      <c r="E60" s="227"/>
      <c r="F60" s="227"/>
      <c r="G60" s="227"/>
      <c r="H60" s="227"/>
      <c r="I60" s="165"/>
      <c r="J60" s="109">
        <f>(18201*90%)/G11*G7</f>
        <v>3003.165</v>
      </c>
      <c r="K60" s="2"/>
      <c r="L60" s="2"/>
      <c r="M60" s="2">
        <f t="shared" si="6"/>
        <v>3003.165</v>
      </c>
    </row>
    <row r="61" spans="1:20">
      <c r="A61" s="164" t="s">
        <v>83</v>
      </c>
      <c r="B61" s="227"/>
      <c r="C61" s="227"/>
      <c r="D61" s="227"/>
      <c r="E61" s="227"/>
      <c r="F61" s="227"/>
      <c r="G61" s="227"/>
      <c r="H61" s="227"/>
      <c r="I61" s="165"/>
      <c r="J61" s="109">
        <f>(889195*50%)/G11*G7</f>
        <v>81509.541666666672</v>
      </c>
      <c r="K61" s="2"/>
      <c r="L61" s="2"/>
      <c r="M61" s="2">
        <f t="shared" si="6"/>
        <v>81509.541666666672</v>
      </c>
    </row>
    <row r="62" spans="1:20">
      <c r="A62" s="164" t="s">
        <v>84</v>
      </c>
      <c r="B62" s="227"/>
      <c r="C62" s="227"/>
      <c r="D62" s="227"/>
      <c r="E62" s="227"/>
      <c r="F62" s="227"/>
      <c r="G62" s="227"/>
      <c r="H62" s="227"/>
      <c r="I62" s="165"/>
      <c r="J62" s="109">
        <f>87975/G11*G7</f>
        <v>16128.75</v>
      </c>
      <c r="K62" s="2"/>
      <c r="L62" s="2"/>
      <c r="M62" s="2">
        <f t="shared" si="6"/>
        <v>16128.75</v>
      </c>
    </row>
    <row r="63" spans="1:20">
      <c r="A63" s="164" t="s">
        <v>90</v>
      </c>
      <c r="B63" s="227"/>
      <c r="C63" s="227"/>
      <c r="D63" s="227"/>
      <c r="E63" s="227"/>
      <c r="F63" s="227"/>
      <c r="G63" s="227"/>
      <c r="H63" s="227"/>
      <c r="I63" s="165"/>
      <c r="J63" s="109">
        <f>J19/G11*G7</f>
        <v>14466.283333333333</v>
      </c>
      <c r="K63" s="2"/>
      <c r="L63" s="2"/>
      <c r="M63" s="2">
        <f t="shared" si="6"/>
        <v>14466.283333333333</v>
      </c>
    </row>
    <row r="64" spans="1:20">
      <c r="A64" s="164" t="s">
        <v>91</v>
      </c>
      <c r="B64" s="227"/>
      <c r="C64" s="227"/>
      <c r="D64" s="227"/>
      <c r="E64" s="227"/>
      <c r="F64" s="227"/>
      <c r="G64" s="227"/>
      <c r="H64" s="227"/>
      <c r="I64" s="165"/>
      <c r="J64" s="109"/>
      <c r="K64" s="2"/>
      <c r="L64" s="2"/>
      <c r="M64" s="2">
        <f t="shared" si="6"/>
        <v>0</v>
      </c>
    </row>
    <row r="65" spans="1:15" ht="48.75" customHeight="1">
      <c r="A65" s="228" t="s">
        <v>159</v>
      </c>
      <c r="B65" s="163"/>
      <c r="C65" s="163"/>
      <c r="D65" s="163"/>
      <c r="E65" s="163"/>
      <c r="F65" s="163"/>
      <c r="G65" s="163"/>
      <c r="H65" s="163"/>
      <c r="I65" s="229"/>
      <c r="J65" s="109">
        <v>42956.1</v>
      </c>
      <c r="K65" s="2"/>
      <c r="L65" s="2"/>
      <c r="M65" s="2">
        <f t="shared" si="6"/>
        <v>42956.1</v>
      </c>
    </row>
    <row r="66" spans="1:15" ht="60" customHeight="1">
      <c r="A66" s="233" t="s">
        <v>162</v>
      </c>
      <c r="B66" s="234"/>
      <c r="C66" s="234"/>
      <c r="D66" s="234"/>
      <c r="E66" s="234"/>
      <c r="F66" s="234"/>
      <c r="G66" s="234"/>
      <c r="H66" s="234"/>
      <c r="I66" s="235"/>
      <c r="J66" s="109">
        <f>(J9+J10+J12+J15+J19)/G11*G7-J60-J61-J62-J63-J65</f>
        <v>326333.65600000008</v>
      </c>
      <c r="K66" s="2"/>
      <c r="L66" s="2"/>
      <c r="M66" s="2">
        <f t="shared" si="6"/>
        <v>326333.65600000008</v>
      </c>
    </row>
    <row r="67" spans="1:15">
      <c r="A67" s="257" t="s">
        <v>93</v>
      </c>
      <c r="B67" s="258"/>
      <c r="C67" s="258"/>
      <c r="D67" s="258"/>
      <c r="E67" s="258"/>
      <c r="F67" s="258"/>
      <c r="G67" s="258"/>
      <c r="H67" s="258"/>
      <c r="I67" s="259"/>
      <c r="J67" s="112">
        <f>J53+J57</f>
        <v>6047470.0300000012</v>
      </c>
      <c r="K67" s="74"/>
      <c r="L67" s="74"/>
      <c r="M67" s="75">
        <f>SUM(J67:L67)</f>
        <v>6047470.0300000012</v>
      </c>
    </row>
    <row r="68" spans="1:15">
      <c r="A68" s="164" t="s">
        <v>107</v>
      </c>
      <c r="B68" s="227"/>
      <c r="C68" s="227"/>
      <c r="D68" s="227"/>
      <c r="E68" s="227"/>
      <c r="F68" s="227"/>
      <c r="G68" s="227"/>
      <c r="H68" s="227"/>
      <c r="I68" s="165"/>
      <c r="J68" s="13">
        <f>J67/G7</f>
        <v>183256.6675757576</v>
      </c>
    </row>
    <row r="69" spans="1:15">
      <c r="J69" s="11"/>
    </row>
    <row r="70" spans="1:15">
      <c r="J70" s="11"/>
    </row>
    <row r="71" spans="1:15">
      <c r="J71" s="30"/>
      <c r="L71" s="30"/>
      <c r="M71" s="30"/>
    </row>
    <row r="72" spans="1:15">
      <c r="J72" s="4"/>
      <c r="K72" s="4"/>
      <c r="L72" s="30"/>
      <c r="M72" s="30"/>
    </row>
    <row r="73" spans="1:15" ht="16.5">
      <c r="J73" s="11"/>
      <c r="K73" s="162" t="s">
        <v>186</v>
      </c>
    </row>
    <row r="74" spans="1:15" ht="16.5">
      <c r="J74" s="11"/>
      <c r="K74" s="162" t="s">
        <v>217</v>
      </c>
    </row>
    <row r="75" spans="1:15" ht="28.5" customHeight="1">
      <c r="A75" s="239" t="s">
        <v>156</v>
      </c>
      <c r="B75" s="240"/>
      <c r="C75" s="240"/>
      <c r="D75" s="240"/>
      <c r="E75" s="240"/>
      <c r="F75" s="240"/>
      <c r="G75" s="240"/>
      <c r="H75" s="240"/>
      <c r="I75" s="240"/>
      <c r="J75" s="240"/>
      <c r="K75" s="240"/>
      <c r="L75" s="240"/>
      <c r="M75" s="241"/>
    </row>
    <row r="76" spans="1:15" ht="30" customHeight="1">
      <c r="A76" s="282" t="s">
        <v>200</v>
      </c>
      <c r="B76" s="283"/>
      <c r="C76" s="283"/>
      <c r="D76" s="283"/>
      <c r="E76" s="283"/>
      <c r="F76" s="283"/>
      <c r="G76" s="283"/>
      <c r="H76" s="283"/>
      <c r="I76" s="284"/>
      <c r="J76" s="107" t="s">
        <v>104</v>
      </c>
      <c r="K76" s="18" t="s">
        <v>105</v>
      </c>
      <c r="L76" s="18" t="s">
        <v>106</v>
      </c>
      <c r="M76" s="18" t="s">
        <v>93</v>
      </c>
    </row>
    <row r="77" spans="1:15">
      <c r="A77" s="236" t="s">
        <v>80</v>
      </c>
      <c r="B77" s="237"/>
      <c r="C77" s="237"/>
      <c r="D77" s="237"/>
      <c r="E77" s="237"/>
      <c r="F77" s="237"/>
      <c r="G77" s="237"/>
      <c r="H77" s="237"/>
      <c r="I77" s="238"/>
      <c r="J77" s="106">
        <f>SUM(J78:J80)</f>
        <v>8302804.0066666659</v>
      </c>
      <c r="K77" s="2"/>
      <c r="L77" s="2"/>
      <c r="M77" s="15">
        <f>SUM(J77:L77)</f>
        <v>8302804.0066666659</v>
      </c>
      <c r="N77" s="11"/>
      <c r="O77" s="11"/>
    </row>
    <row r="78" spans="1:15">
      <c r="A78" s="233" t="s">
        <v>88</v>
      </c>
      <c r="B78" s="234"/>
      <c r="C78" s="234"/>
      <c r="D78" s="234"/>
      <c r="E78" s="234"/>
      <c r="F78" s="234"/>
      <c r="G78" s="234"/>
      <c r="H78" s="234"/>
      <c r="I78" s="235"/>
      <c r="J78" s="109">
        <v>7839954</v>
      </c>
      <c r="K78" s="2"/>
      <c r="L78" s="2"/>
      <c r="M78" s="15">
        <f t="shared" ref="M78:M90" si="7">SUM(J78:L78)</f>
        <v>7839954</v>
      </c>
    </row>
    <row r="79" spans="1:15" ht="42" customHeight="1">
      <c r="A79" s="233" t="s">
        <v>161</v>
      </c>
      <c r="B79" s="234"/>
      <c r="C79" s="234"/>
      <c r="D79" s="234"/>
      <c r="E79" s="234"/>
      <c r="F79" s="234"/>
      <c r="G79" s="234"/>
      <c r="H79" s="234"/>
      <c r="I79" s="235"/>
      <c r="J79" s="109">
        <f>(J13+J14)/G11*G8</f>
        <v>115199.81</v>
      </c>
      <c r="K79" s="2"/>
      <c r="L79" s="2"/>
      <c r="M79" s="15">
        <f t="shared" si="7"/>
        <v>115199.81</v>
      </c>
    </row>
    <row r="80" spans="1:15">
      <c r="A80" s="164" t="s">
        <v>85</v>
      </c>
      <c r="B80" s="227"/>
      <c r="C80" s="227"/>
      <c r="D80" s="227"/>
      <c r="E80" s="227"/>
      <c r="F80" s="227"/>
      <c r="G80" s="227"/>
      <c r="H80" s="227"/>
      <c r="I80" s="165"/>
      <c r="J80" s="109">
        <f>(J6+J16)/G11*G8</f>
        <v>347650.19666666671</v>
      </c>
      <c r="K80" s="2"/>
      <c r="L80" s="2"/>
      <c r="M80" s="15">
        <f t="shared" si="7"/>
        <v>347650.19666666671</v>
      </c>
    </row>
    <row r="81" spans="1:14">
      <c r="A81" s="230" t="s">
        <v>87</v>
      </c>
      <c r="B81" s="231"/>
      <c r="C81" s="231"/>
      <c r="D81" s="231"/>
      <c r="E81" s="231"/>
      <c r="F81" s="231"/>
      <c r="G81" s="231"/>
      <c r="H81" s="231"/>
      <c r="I81" s="232"/>
      <c r="J81" s="110">
        <f>J82+J83+J87+J89+J90</f>
        <v>1776312.6600000001</v>
      </c>
      <c r="K81" s="15"/>
      <c r="L81" s="2"/>
      <c r="M81" s="15">
        <f t="shared" si="7"/>
        <v>1776312.6600000001</v>
      </c>
      <c r="N81" s="11"/>
    </row>
    <row r="82" spans="1:14">
      <c r="A82" s="233" t="s">
        <v>89</v>
      </c>
      <c r="B82" s="234"/>
      <c r="C82" s="234"/>
      <c r="D82" s="234"/>
      <c r="E82" s="234"/>
      <c r="F82" s="234"/>
      <c r="G82" s="234"/>
      <c r="H82" s="234"/>
      <c r="I82" s="235"/>
      <c r="J82" s="111">
        <f>8808937.5-J78</f>
        <v>968983.5</v>
      </c>
      <c r="K82" s="2"/>
      <c r="L82" s="2"/>
      <c r="M82" s="15">
        <f t="shared" si="7"/>
        <v>968983.5</v>
      </c>
    </row>
    <row r="83" spans="1:14">
      <c r="A83" s="164" t="s">
        <v>81</v>
      </c>
      <c r="B83" s="227"/>
      <c r="C83" s="227"/>
      <c r="D83" s="227"/>
      <c r="E83" s="227"/>
      <c r="F83" s="227"/>
      <c r="G83" s="227"/>
      <c r="H83" s="227"/>
      <c r="I83" s="165"/>
      <c r="J83" s="111">
        <f>SUM(J84:J86)</f>
        <v>28155.32</v>
      </c>
      <c r="K83" s="2"/>
      <c r="L83" s="2"/>
      <c r="M83" s="15">
        <f t="shared" si="7"/>
        <v>28155.32</v>
      </c>
    </row>
    <row r="84" spans="1:14">
      <c r="A84" s="164" t="s">
        <v>82</v>
      </c>
      <c r="B84" s="227"/>
      <c r="C84" s="227"/>
      <c r="D84" s="227"/>
      <c r="E84" s="227"/>
      <c r="F84" s="227"/>
      <c r="G84" s="227"/>
      <c r="H84" s="227"/>
      <c r="I84" s="165"/>
      <c r="J84" s="109">
        <f>(18201*90%)/G11*G10</f>
        <v>1274.07</v>
      </c>
      <c r="K84" s="2"/>
      <c r="L84" s="2"/>
      <c r="M84" s="15">
        <f t="shared" si="7"/>
        <v>1274.07</v>
      </c>
    </row>
    <row r="85" spans="1:14">
      <c r="A85" s="164" t="s">
        <v>83</v>
      </c>
      <c r="B85" s="227"/>
      <c r="C85" s="227"/>
      <c r="D85" s="227"/>
      <c r="E85" s="227"/>
      <c r="F85" s="227"/>
      <c r="G85" s="227"/>
      <c r="H85" s="227"/>
      <c r="I85" s="165"/>
      <c r="J85" s="109"/>
      <c r="K85" s="2"/>
      <c r="L85" s="2"/>
      <c r="M85" s="15">
        <f t="shared" si="7"/>
        <v>0</v>
      </c>
    </row>
    <row r="86" spans="1:14">
      <c r="A86" s="164" t="s">
        <v>84</v>
      </c>
      <c r="B86" s="227"/>
      <c r="C86" s="227"/>
      <c r="D86" s="227"/>
      <c r="E86" s="227"/>
      <c r="F86" s="227"/>
      <c r="G86" s="227"/>
      <c r="H86" s="227"/>
      <c r="I86" s="165"/>
      <c r="J86" s="109">
        <f>87975/G11*G8</f>
        <v>26881.25</v>
      </c>
      <c r="K86" s="2"/>
      <c r="L86" s="2"/>
      <c r="M86" s="15">
        <f t="shared" si="7"/>
        <v>26881.25</v>
      </c>
    </row>
    <row r="87" spans="1:14">
      <c r="A87" s="164" t="s">
        <v>90</v>
      </c>
      <c r="B87" s="227"/>
      <c r="C87" s="227"/>
      <c r="D87" s="227"/>
      <c r="E87" s="227"/>
      <c r="F87" s="227"/>
      <c r="G87" s="227"/>
      <c r="H87" s="227"/>
      <c r="I87" s="165"/>
      <c r="J87" s="109">
        <f>J19/G11*G8</f>
        <v>24110.472222222223</v>
      </c>
      <c r="K87" s="2"/>
      <c r="L87" s="2"/>
      <c r="M87" s="15">
        <f t="shared" si="7"/>
        <v>24110.472222222223</v>
      </c>
    </row>
    <row r="88" spans="1:14">
      <c r="A88" s="164" t="s">
        <v>91</v>
      </c>
      <c r="B88" s="227"/>
      <c r="C88" s="227"/>
      <c r="D88" s="227"/>
      <c r="E88" s="227"/>
      <c r="F88" s="227"/>
      <c r="G88" s="227"/>
      <c r="H88" s="227"/>
      <c r="I88" s="165"/>
      <c r="J88" s="109"/>
      <c r="K88" s="2"/>
      <c r="L88" s="2"/>
      <c r="M88" s="15">
        <f t="shared" si="7"/>
        <v>0</v>
      </c>
    </row>
    <row r="89" spans="1:14" ht="45.75" customHeight="1">
      <c r="A89" s="228" t="s">
        <v>159</v>
      </c>
      <c r="B89" s="163"/>
      <c r="C89" s="163"/>
      <c r="D89" s="163"/>
      <c r="E89" s="163"/>
      <c r="F89" s="163"/>
      <c r="G89" s="163"/>
      <c r="H89" s="163"/>
      <c r="I89" s="229"/>
      <c r="J89" s="109">
        <v>71593.5</v>
      </c>
      <c r="K89" s="2"/>
      <c r="L89" s="2"/>
      <c r="M89" s="15">
        <f t="shared" si="7"/>
        <v>71593.5</v>
      </c>
    </row>
    <row r="90" spans="1:14" ht="109.5" customHeight="1">
      <c r="A90" s="233" t="s">
        <v>163</v>
      </c>
      <c r="B90" s="234"/>
      <c r="C90" s="234"/>
      <c r="D90" s="234"/>
      <c r="E90" s="234"/>
      <c r="F90" s="234"/>
      <c r="G90" s="234"/>
      <c r="H90" s="234"/>
      <c r="I90" s="235"/>
      <c r="J90" s="109">
        <f>(J9+J10+J12+J15+J19)/G11*G8-J84-J85-J86-J87-J89</f>
        <v>683469.86777777784</v>
      </c>
      <c r="K90" s="2"/>
      <c r="L90" s="2"/>
      <c r="M90" s="15">
        <f t="shared" si="7"/>
        <v>683469.86777777784</v>
      </c>
    </row>
    <row r="91" spans="1:14">
      <c r="A91" s="257" t="s">
        <v>93</v>
      </c>
      <c r="B91" s="258"/>
      <c r="C91" s="258"/>
      <c r="D91" s="258"/>
      <c r="E91" s="258"/>
      <c r="F91" s="258"/>
      <c r="G91" s="258"/>
      <c r="H91" s="258"/>
      <c r="I91" s="259"/>
      <c r="J91" s="112">
        <f>J77+J81</f>
        <v>10079116.666666666</v>
      </c>
      <c r="K91" s="74"/>
      <c r="L91" s="74"/>
      <c r="M91" s="75">
        <f>SUM(J91:L91)</f>
        <v>10079116.666666666</v>
      </c>
    </row>
    <row r="92" spans="1:14">
      <c r="A92" s="164" t="s">
        <v>107</v>
      </c>
      <c r="B92" s="227"/>
      <c r="C92" s="227"/>
      <c r="D92" s="227"/>
      <c r="E92" s="227"/>
      <c r="F92" s="227"/>
      <c r="G92" s="227"/>
      <c r="H92" s="227"/>
      <c r="I92" s="165"/>
      <c r="J92" s="13">
        <f>J91/55</f>
        <v>183256.66666666666</v>
      </c>
    </row>
    <row r="93" spans="1:14">
      <c r="I93" s="11">
        <f>10079116.67-J91</f>
        <v>3.3333338797092438E-3</v>
      </c>
      <c r="J93" s="11"/>
    </row>
    <row r="94" spans="1:14">
      <c r="J94" s="4"/>
      <c r="K94" s="4"/>
      <c r="L94" s="30"/>
      <c r="M94" s="30"/>
    </row>
    <row r="95" spans="1:14" ht="16.5">
      <c r="B95" s="146"/>
      <c r="C95" s="146"/>
      <c r="D95" s="146"/>
      <c r="E95" s="146"/>
      <c r="F95" s="146"/>
      <c r="G95" s="146"/>
      <c r="H95" s="146"/>
      <c r="I95" s="146"/>
      <c r="J95" s="146"/>
      <c r="K95" s="162" t="s">
        <v>187</v>
      </c>
      <c r="M95" s="146"/>
    </row>
    <row r="96" spans="1:14" ht="16.5">
      <c r="B96" s="146"/>
      <c r="C96" s="146"/>
      <c r="D96" s="146"/>
      <c r="E96" s="146"/>
      <c r="F96" s="146"/>
      <c r="G96" s="146"/>
      <c r="H96" s="146"/>
      <c r="I96" s="146"/>
      <c r="J96" s="146"/>
      <c r="K96" s="162" t="s">
        <v>217</v>
      </c>
      <c r="M96" s="146"/>
    </row>
    <row r="97" spans="1:14" ht="35.25" customHeight="1">
      <c r="A97" s="277" t="s">
        <v>157</v>
      </c>
      <c r="B97" s="278"/>
      <c r="C97" s="278"/>
      <c r="D97" s="278"/>
      <c r="E97" s="278"/>
      <c r="F97" s="278"/>
      <c r="G97" s="278"/>
      <c r="H97" s="278"/>
      <c r="I97" s="278"/>
      <c r="J97" s="278"/>
      <c r="K97" s="278"/>
      <c r="L97" s="278"/>
      <c r="M97" s="279"/>
    </row>
    <row r="98" spans="1:14" ht="30" customHeight="1">
      <c r="A98" s="282" t="s">
        <v>200</v>
      </c>
      <c r="B98" s="283"/>
      <c r="C98" s="283"/>
      <c r="D98" s="283"/>
      <c r="E98" s="283"/>
      <c r="F98" s="283"/>
      <c r="G98" s="283"/>
      <c r="H98" s="283"/>
      <c r="I98" s="284"/>
      <c r="J98" s="107" t="s">
        <v>104</v>
      </c>
      <c r="K98" s="18" t="s">
        <v>105</v>
      </c>
      <c r="L98" s="18" t="s">
        <v>106</v>
      </c>
      <c r="M98" s="18" t="s">
        <v>93</v>
      </c>
    </row>
    <row r="99" spans="1:14">
      <c r="A99" s="236" t="s">
        <v>80</v>
      </c>
      <c r="B99" s="237"/>
      <c r="C99" s="237"/>
      <c r="D99" s="237"/>
      <c r="E99" s="237"/>
      <c r="F99" s="237"/>
      <c r="G99" s="237"/>
      <c r="H99" s="237"/>
      <c r="I99" s="238"/>
      <c r="J99" s="106">
        <f>SUM(J100:J102)</f>
        <v>2113441.1153333331</v>
      </c>
      <c r="K99" s="2"/>
      <c r="L99" s="2"/>
      <c r="M99" s="15">
        <f>SUM(J99:L99)</f>
        <v>2113441.1153333331</v>
      </c>
    </row>
    <row r="100" spans="1:14">
      <c r="A100" s="233" t="s">
        <v>88</v>
      </c>
      <c r="B100" s="234"/>
      <c r="C100" s="234"/>
      <c r="D100" s="234"/>
      <c r="E100" s="234"/>
      <c r="F100" s="234"/>
      <c r="G100" s="234"/>
      <c r="H100" s="234"/>
      <c r="I100" s="235"/>
      <c r="J100" s="109">
        <f>2242275*89%</f>
        <v>1995624.75</v>
      </c>
      <c r="K100" s="2"/>
      <c r="L100" s="2"/>
      <c r="M100" s="15">
        <f t="shared" ref="M100:M112" si="8">SUM(J100:L100)</f>
        <v>1995624.75</v>
      </c>
      <c r="N100" s="11"/>
    </row>
    <row r="101" spans="1:14" ht="48.75" customHeight="1">
      <c r="A101" s="233" t="s">
        <v>161</v>
      </c>
      <c r="B101" s="234"/>
      <c r="C101" s="234"/>
      <c r="D101" s="234"/>
      <c r="E101" s="234"/>
      <c r="F101" s="234"/>
      <c r="G101" s="234"/>
      <c r="H101" s="234"/>
      <c r="I101" s="235"/>
      <c r="J101" s="109">
        <f>(J13+J14)/G11*G10</f>
        <v>29323.588</v>
      </c>
      <c r="K101" s="2"/>
      <c r="L101" s="2"/>
      <c r="M101" s="15">
        <f t="shared" si="8"/>
        <v>29323.588</v>
      </c>
    </row>
    <row r="102" spans="1:14">
      <c r="A102" s="164" t="s">
        <v>85</v>
      </c>
      <c r="B102" s="227"/>
      <c r="C102" s="227"/>
      <c r="D102" s="227"/>
      <c r="E102" s="227"/>
      <c r="F102" s="227"/>
      <c r="G102" s="227"/>
      <c r="H102" s="227"/>
      <c r="I102" s="165"/>
      <c r="J102" s="109">
        <f>(J6+J16)/G11*G10</f>
        <v>88492.777333333332</v>
      </c>
      <c r="K102" s="2"/>
      <c r="L102" s="2"/>
      <c r="M102" s="15">
        <f t="shared" si="8"/>
        <v>88492.777333333332</v>
      </c>
    </row>
    <row r="103" spans="1:14">
      <c r="A103" s="230" t="s">
        <v>87</v>
      </c>
      <c r="B103" s="231"/>
      <c r="C103" s="231"/>
      <c r="D103" s="231"/>
      <c r="E103" s="231"/>
      <c r="F103" s="231"/>
      <c r="G103" s="231"/>
      <c r="H103" s="231"/>
      <c r="I103" s="232"/>
      <c r="J103" s="110">
        <f>J104+J105+J109+J111+J112</f>
        <v>452152.21799999999</v>
      </c>
      <c r="K103" s="15"/>
      <c r="L103" s="2"/>
      <c r="M103" s="15">
        <f t="shared" si="8"/>
        <v>452152.21799999999</v>
      </c>
    </row>
    <row r="104" spans="1:14">
      <c r="A104" s="233" t="s">
        <v>89</v>
      </c>
      <c r="B104" s="234"/>
      <c r="C104" s="234"/>
      <c r="D104" s="234"/>
      <c r="E104" s="234"/>
      <c r="F104" s="234"/>
      <c r="G104" s="234"/>
      <c r="H104" s="234"/>
      <c r="I104" s="235"/>
      <c r="J104" s="111">
        <f>2242275*11%</f>
        <v>246650.25</v>
      </c>
      <c r="K104" s="2"/>
      <c r="L104" s="2"/>
      <c r="M104" s="15">
        <f t="shared" si="8"/>
        <v>246650.25</v>
      </c>
      <c r="N104" s="11"/>
    </row>
    <row r="105" spans="1:14">
      <c r="A105" s="164" t="s">
        <v>81</v>
      </c>
      <c r="B105" s="227"/>
      <c r="C105" s="227"/>
      <c r="D105" s="227"/>
      <c r="E105" s="227"/>
      <c r="F105" s="227"/>
      <c r="G105" s="227"/>
      <c r="H105" s="227"/>
      <c r="I105" s="165"/>
      <c r="J105" s="111">
        <f>SUM(J106:J108)</f>
        <v>42696.375555555562</v>
      </c>
      <c r="K105" s="2"/>
      <c r="L105" s="2"/>
      <c r="M105" s="15">
        <f t="shared" si="8"/>
        <v>42696.375555555562</v>
      </c>
    </row>
    <row r="106" spans="1:14">
      <c r="A106" s="164" t="s">
        <v>82</v>
      </c>
      <c r="B106" s="227"/>
      <c r="C106" s="227"/>
      <c r="D106" s="227"/>
      <c r="E106" s="227"/>
      <c r="F106" s="227"/>
      <c r="G106" s="227"/>
      <c r="H106" s="227"/>
      <c r="I106" s="165"/>
      <c r="J106" s="109">
        <f>(18201*90%)/G11*G10</f>
        <v>1274.07</v>
      </c>
      <c r="K106" s="2"/>
      <c r="L106" s="2"/>
      <c r="M106" s="15">
        <f t="shared" si="8"/>
        <v>1274.07</v>
      </c>
    </row>
    <row r="107" spans="1:14">
      <c r="A107" s="164" t="s">
        <v>83</v>
      </c>
      <c r="B107" s="227"/>
      <c r="C107" s="227"/>
      <c r="D107" s="227"/>
      <c r="E107" s="227"/>
      <c r="F107" s="227"/>
      <c r="G107" s="227"/>
      <c r="H107" s="227"/>
      <c r="I107" s="165"/>
      <c r="J107" s="109">
        <f>(889195*50%)/G11*G10</f>
        <v>34579.805555555562</v>
      </c>
      <c r="K107" s="2"/>
      <c r="L107" s="2"/>
      <c r="M107" s="15">
        <f t="shared" si="8"/>
        <v>34579.805555555562</v>
      </c>
    </row>
    <row r="108" spans="1:14">
      <c r="A108" s="164" t="s">
        <v>84</v>
      </c>
      <c r="B108" s="227"/>
      <c r="C108" s="227"/>
      <c r="D108" s="227"/>
      <c r="E108" s="227"/>
      <c r="F108" s="227"/>
      <c r="G108" s="227"/>
      <c r="H108" s="227"/>
      <c r="I108" s="165"/>
      <c r="J108" s="109">
        <f>(87975/G11)*G10</f>
        <v>6842.5</v>
      </c>
      <c r="K108" s="2"/>
      <c r="L108" s="2"/>
      <c r="M108" s="15">
        <f t="shared" si="8"/>
        <v>6842.5</v>
      </c>
    </row>
    <row r="109" spans="1:14">
      <c r="A109" s="164" t="s">
        <v>90</v>
      </c>
      <c r="B109" s="227"/>
      <c r="C109" s="227"/>
      <c r="D109" s="227"/>
      <c r="E109" s="227"/>
      <c r="F109" s="227"/>
      <c r="G109" s="227"/>
      <c r="H109" s="227"/>
      <c r="I109" s="165"/>
      <c r="J109" s="109">
        <f>J19/G11*G10</f>
        <v>6137.2111111111108</v>
      </c>
      <c r="K109" s="2"/>
      <c r="L109" s="2"/>
      <c r="M109" s="15">
        <f t="shared" si="8"/>
        <v>6137.2111111111108</v>
      </c>
    </row>
    <row r="110" spans="1:14">
      <c r="A110" s="164" t="s">
        <v>91</v>
      </c>
      <c r="B110" s="227"/>
      <c r="C110" s="227"/>
      <c r="D110" s="227"/>
      <c r="E110" s="227"/>
      <c r="F110" s="227"/>
      <c r="G110" s="227"/>
      <c r="H110" s="227"/>
      <c r="I110" s="165"/>
      <c r="J110" s="109"/>
      <c r="K110" s="2"/>
      <c r="L110" s="2"/>
      <c r="M110" s="15">
        <f t="shared" si="8"/>
        <v>0</v>
      </c>
    </row>
    <row r="111" spans="1:14" ht="45.75" customHeight="1">
      <c r="A111" s="228" t="s">
        <v>159</v>
      </c>
      <c r="B111" s="163"/>
      <c r="C111" s="163"/>
      <c r="D111" s="163"/>
      <c r="E111" s="163"/>
      <c r="F111" s="163"/>
      <c r="G111" s="163"/>
      <c r="H111" s="163"/>
      <c r="I111" s="229"/>
      <c r="J111" s="109">
        <v>19525.5</v>
      </c>
      <c r="K111" s="2"/>
      <c r="L111" s="2"/>
      <c r="M111" s="15">
        <f t="shared" si="8"/>
        <v>19525.5</v>
      </c>
    </row>
    <row r="112" spans="1:14" ht="108" customHeight="1">
      <c r="A112" s="233" t="s">
        <v>160</v>
      </c>
      <c r="B112" s="234"/>
      <c r="C112" s="234"/>
      <c r="D112" s="234"/>
      <c r="E112" s="234"/>
      <c r="F112" s="234"/>
      <c r="G112" s="234"/>
      <c r="H112" s="234"/>
      <c r="I112" s="235"/>
      <c r="J112" s="109">
        <f>(J9+J10+J12+J15+J19)/G11*G10-J106-J107-J108-J109-J111</f>
        <v>137142.88133333335</v>
      </c>
      <c r="K112" s="2"/>
      <c r="L112" s="2"/>
      <c r="M112" s="15">
        <f t="shared" si="8"/>
        <v>137142.88133333335</v>
      </c>
    </row>
    <row r="113" spans="1:14">
      <c r="A113" s="257" t="s">
        <v>93</v>
      </c>
      <c r="B113" s="258"/>
      <c r="C113" s="258"/>
      <c r="D113" s="258"/>
      <c r="E113" s="258"/>
      <c r="F113" s="258"/>
      <c r="G113" s="258"/>
      <c r="H113" s="258"/>
      <c r="I113" s="259"/>
      <c r="J113" s="112">
        <f>J99+J103</f>
        <v>2565593.333333333</v>
      </c>
      <c r="K113" s="74"/>
      <c r="L113" s="74"/>
      <c r="M113" s="75">
        <f>SUM(J113:L113)</f>
        <v>2565593.333333333</v>
      </c>
      <c r="N113" s="11"/>
    </row>
    <row r="114" spans="1:14">
      <c r="A114" s="164" t="s">
        <v>107</v>
      </c>
      <c r="B114" s="227"/>
      <c r="C114" s="227"/>
      <c r="D114" s="227"/>
      <c r="E114" s="227"/>
      <c r="F114" s="227"/>
      <c r="G114" s="227"/>
      <c r="H114" s="227"/>
      <c r="I114" s="165"/>
      <c r="J114" s="13">
        <f>J113/G10</f>
        <v>183256.66666666666</v>
      </c>
    </row>
    <row r="115" spans="1:14">
      <c r="J115" s="11"/>
    </row>
    <row r="116" spans="1:14">
      <c r="J116" s="11"/>
    </row>
    <row r="117" spans="1:14">
      <c r="J117" s="11"/>
    </row>
    <row r="118" spans="1:14">
      <c r="J118" s="30"/>
      <c r="L118" s="30"/>
      <c r="M118" s="30"/>
    </row>
    <row r="119" spans="1:14" ht="16.5">
      <c r="J119" s="4"/>
      <c r="K119" s="162" t="s">
        <v>188</v>
      </c>
      <c r="L119" s="30"/>
      <c r="M119" s="30"/>
    </row>
    <row r="120" spans="1:14" ht="16.5">
      <c r="J120" s="4"/>
      <c r="K120" s="162" t="s">
        <v>217</v>
      </c>
      <c r="L120" s="30"/>
      <c r="M120" s="30"/>
    </row>
    <row r="121" spans="1:14" ht="25.5" customHeight="1">
      <c r="A121" s="280" t="s">
        <v>158</v>
      </c>
      <c r="B121" s="280"/>
      <c r="C121" s="280"/>
      <c r="D121" s="280"/>
      <c r="E121" s="280"/>
      <c r="F121" s="280"/>
      <c r="G121" s="280"/>
      <c r="H121" s="280"/>
      <c r="I121" s="280"/>
      <c r="J121" s="280"/>
      <c r="K121" s="280"/>
      <c r="L121" s="280"/>
      <c r="M121" s="280"/>
    </row>
    <row r="122" spans="1:14" ht="30" customHeight="1">
      <c r="A122" s="282" t="s">
        <v>200</v>
      </c>
      <c r="B122" s="283"/>
      <c r="C122" s="283"/>
      <c r="D122" s="283"/>
      <c r="E122" s="283"/>
      <c r="F122" s="283"/>
      <c r="G122" s="283"/>
      <c r="H122" s="283"/>
      <c r="I122" s="284"/>
      <c r="J122" s="107" t="s">
        <v>104</v>
      </c>
      <c r="K122" s="18" t="s">
        <v>105</v>
      </c>
      <c r="L122" s="18" t="s">
        <v>106</v>
      </c>
      <c r="M122" s="18" t="s">
        <v>93</v>
      </c>
    </row>
    <row r="123" spans="1:14">
      <c r="A123" s="236" t="s">
        <v>80</v>
      </c>
      <c r="B123" s="237"/>
      <c r="C123" s="237"/>
      <c r="D123" s="237"/>
      <c r="E123" s="237"/>
      <c r="F123" s="237"/>
      <c r="G123" s="237"/>
      <c r="H123" s="237"/>
      <c r="I123" s="238"/>
      <c r="J123" s="106">
        <f>SUM(J124:J126)</f>
        <v>2264401.1949999998</v>
      </c>
      <c r="K123" s="2"/>
      <c r="L123" s="2"/>
      <c r="M123" s="15">
        <f>SUM(J123:L123)</f>
        <v>2264401.1949999998</v>
      </c>
    </row>
    <row r="124" spans="1:14">
      <c r="A124" s="233" t="s">
        <v>88</v>
      </c>
      <c r="B124" s="234"/>
      <c r="C124" s="234"/>
      <c r="D124" s="234"/>
      <c r="E124" s="234"/>
      <c r="F124" s="234"/>
      <c r="G124" s="234"/>
      <c r="H124" s="234"/>
      <c r="I124" s="235"/>
      <c r="J124" s="109">
        <f>2402437.5*89%</f>
        <v>2138169.375</v>
      </c>
      <c r="K124" s="2"/>
      <c r="L124" s="2"/>
      <c r="M124" s="15">
        <f t="shared" ref="M124:M136" si="9">SUM(J124:L124)</f>
        <v>2138169.375</v>
      </c>
      <c r="N124" s="11"/>
    </row>
    <row r="125" spans="1:14" ht="46.5" customHeight="1">
      <c r="A125" s="233" t="s">
        <v>161</v>
      </c>
      <c r="B125" s="234"/>
      <c r="C125" s="234"/>
      <c r="D125" s="234"/>
      <c r="E125" s="234"/>
      <c r="F125" s="234"/>
      <c r="G125" s="234"/>
      <c r="H125" s="234"/>
      <c r="I125" s="235"/>
      <c r="J125" s="109">
        <f>(J13+J14)/G11*G9</f>
        <v>31418.129999999997</v>
      </c>
      <c r="K125" s="2"/>
      <c r="L125" s="2"/>
      <c r="M125" s="15">
        <f t="shared" si="9"/>
        <v>31418.129999999997</v>
      </c>
    </row>
    <row r="126" spans="1:14">
      <c r="A126" s="164" t="s">
        <v>85</v>
      </c>
      <c r="B126" s="227"/>
      <c r="C126" s="227"/>
      <c r="D126" s="227"/>
      <c r="E126" s="227"/>
      <c r="F126" s="227"/>
      <c r="G126" s="227"/>
      <c r="H126" s="227"/>
      <c r="I126" s="165"/>
      <c r="J126" s="109">
        <f>(J6+J16)/G11*G9</f>
        <v>94813.69</v>
      </c>
      <c r="K126" s="2"/>
      <c r="L126" s="2"/>
      <c r="M126" s="15">
        <f t="shared" si="9"/>
        <v>94813.69</v>
      </c>
    </row>
    <row r="127" spans="1:14">
      <c r="A127" s="230" t="s">
        <v>87</v>
      </c>
      <c r="B127" s="231"/>
      <c r="C127" s="231"/>
      <c r="D127" s="231"/>
      <c r="E127" s="231"/>
      <c r="F127" s="231"/>
      <c r="G127" s="231"/>
      <c r="H127" s="231"/>
      <c r="I127" s="232"/>
      <c r="J127" s="110">
        <f>J128+J129+J133+J135+J136</f>
        <v>484448.80500000005</v>
      </c>
      <c r="K127" s="2"/>
      <c r="L127" s="2"/>
      <c r="M127" s="15">
        <f t="shared" si="9"/>
        <v>484448.80500000005</v>
      </c>
    </row>
    <row r="128" spans="1:14">
      <c r="A128" s="233" t="s">
        <v>89</v>
      </c>
      <c r="B128" s="234"/>
      <c r="C128" s="234"/>
      <c r="D128" s="234"/>
      <c r="E128" s="234"/>
      <c r="F128" s="234"/>
      <c r="G128" s="234"/>
      <c r="H128" s="234"/>
      <c r="I128" s="235"/>
      <c r="J128" s="111">
        <f>2402437.5-J124</f>
        <v>264268.125</v>
      </c>
      <c r="K128" s="15"/>
      <c r="L128" s="2"/>
      <c r="M128" s="15">
        <f t="shared" si="9"/>
        <v>264268.125</v>
      </c>
      <c r="N128" s="11"/>
    </row>
    <row r="129" spans="1:13">
      <c r="A129" s="164" t="s">
        <v>81</v>
      </c>
      <c r="B129" s="227"/>
      <c r="C129" s="227"/>
      <c r="D129" s="227"/>
      <c r="E129" s="227"/>
      <c r="F129" s="227"/>
      <c r="G129" s="227"/>
      <c r="H129" s="227"/>
      <c r="I129" s="165"/>
      <c r="J129" s="111">
        <f>SUM(J130:J132)</f>
        <v>45746.116666666669</v>
      </c>
      <c r="K129" s="2"/>
      <c r="L129" s="2"/>
      <c r="M129" s="15">
        <f t="shared" si="9"/>
        <v>45746.116666666669</v>
      </c>
    </row>
    <row r="130" spans="1:13">
      <c r="A130" s="164" t="s">
        <v>82</v>
      </c>
      <c r="B130" s="227"/>
      <c r="C130" s="227"/>
      <c r="D130" s="227"/>
      <c r="E130" s="227"/>
      <c r="F130" s="227"/>
      <c r="G130" s="227"/>
      <c r="H130" s="227"/>
      <c r="I130" s="165"/>
      <c r="J130" s="109">
        <f>(18201*90%)/G11*G9</f>
        <v>1365.0749999999998</v>
      </c>
      <c r="K130" s="2"/>
      <c r="L130" s="2"/>
      <c r="M130" s="15">
        <f t="shared" si="9"/>
        <v>1365.0749999999998</v>
      </c>
    </row>
    <row r="131" spans="1:13">
      <c r="A131" s="164" t="s">
        <v>83</v>
      </c>
      <c r="B131" s="227"/>
      <c r="C131" s="227"/>
      <c r="D131" s="227"/>
      <c r="E131" s="227"/>
      <c r="F131" s="227"/>
      <c r="G131" s="227"/>
      <c r="H131" s="227"/>
      <c r="I131" s="165"/>
      <c r="J131" s="109">
        <f>(889195*50%)/G11*G9</f>
        <v>37049.791666666672</v>
      </c>
      <c r="K131" s="2"/>
      <c r="L131" s="2"/>
      <c r="M131" s="15">
        <f t="shared" si="9"/>
        <v>37049.791666666672</v>
      </c>
    </row>
    <row r="132" spans="1:13">
      <c r="A132" s="164" t="s">
        <v>84</v>
      </c>
      <c r="B132" s="227"/>
      <c r="C132" s="227"/>
      <c r="D132" s="227"/>
      <c r="E132" s="227"/>
      <c r="F132" s="227"/>
      <c r="G132" s="227"/>
      <c r="H132" s="227"/>
      <c r="I132" s="165"/>
      <c r="J132" s="109">
        <f>(87975/G11)*G9</f>
        <v>7331.25</v>
      </c>
      <c r="K132" s="2"/>
      <c r="L132" s="2"/>
      <c r="M132" s="15">
        <f t="shared" si="9"/>
        <v>7331.25</v>
      </c>
    </row>
    <row r="133" spans="1:13">
      <c r="A133" s="164" t="s">
        <v>90</v>
      </c>
      <c r="B133" s="227"/>
      <c r="C133" s="227"/>
      <c r="D133" s="227"/>
      <c r="E133" s="227"/>
      <c r="F133" s="227"/>
      <c r="G133" s="227"/>
      <c r="H133" s="227"/>
      <c r="I133" s="165"/>
      <c r="J133" s="109">
        <f>J19/G11*G9</f>
        <v>6575.583333333333</v>
      </c>
      <c r="K133" s="2"/>
      <c r="L133" s="2"/>
      <c r="M133" s="15">
        <f t="shared" si="9"/>
        <v>6575.583333333333</v>
      </c>
    </row>
    <row r="134" spans="1:13">
      <c r="A134" s="164" t="s">
        <v>91</v>
      </c>
      <c r="B134" s="227"/>
      <c r="C134" s="227"/>
      <c r="D134" s="227"/>
      <c r="E134" s="227"/>
      <c r="F134" s="227"/>
      <c r="G134" s="227"/>
      <c r="H134" s="227"/>
      <c r="I134" s="165"/>
      <c r="J134" s="109"/>
      <c r="K134" s="2"/>
      <c r="L134" s="2"/>
      <c r="M134" s="15">
        <f t="shared" si="9"/>
        <v>0</v>
      </c>
    </row>
    <row r="135" spans="1:13" ht="48" customHeight="1">
      <c r="A135" s="228" t="s">
        <v>159</v>
      </c>
      <c r="B135" s="163"/>
      <c r="C135" s="163"/>
      <c r="D135" s="163"/>
      <c r="E135" s="163"/>
      <c r="F135" s="163"/>
      <c r="G135" s="163"/>
      <c r="H135" s="163"/>
      <c r="I135" s="229"/>
      <c r="J135" s="109">
        <v>19525.5</v>
      </c>
      <c r="K135" s="2"/>
      <c r="L135" s="2"/>
      <c r="M135" s="15">
        <f t="shared" si="9"/>
        <v>19525.5</v>
      </c>
    </row>
    <row r="136" spans="1:13" ht="105" customHeight="1">
      <c r="A136" s="233" t="s">
        <v>160</v>
      </c>
      <c r="B136" s="234"/>
      <c r="C136" s="234"/>
      <c r="D136" s="234"/>
      <c r="E136" s="234"/>
      <c r="F136" s="234"/>
      <c r="G136" s="234"/>
      <c r="H136" s="234"/>
      <c r="I136" s="235"/>
      <c r="J136" s="109">
        <f>(J9+J10+J12+J15+J19)/G11*G9-J130-J131-J132-J133-J135</f>
        <v>148333.48000000001</v>
      </c>
      <c r="K136" s="2"/>
      <c r="L136" s="2"/>
      <c r="M136" s="15">
        <f t="shared" si="9"/>
        <v>148333.48000000001</v>
      </c>
    </row>
    <row r="137" spans="1:13">
      <c r="A137" s="257" t="s">
        <v>93</v>
      </c>
      <c r="B137" s="258"/>
      <c r="C137" s="258"/>
      <c r="D137" s="258"/>
      <c r="E137" s="258"/>
      <c r="F137" s="258"/>
      <c r="G137" s="258"/>
      <c r="H137" s="258"/>
      <c r="I137" s="259"/>
      <c r="J137" s="112">
        <f>J123+J127</f>
        <v>2748850</v>
      </c>
      <c r="K137" s="74"/>
      <c r="L137" s="74"/>
      <c r="M137" s="75">
        <f>SUM(J137:L137)</f>
        <v>2748850</v>
      </c>
    </row>
    <row r="138" spans="1:13">
      <c r="A138" s="164" t="s">
        <v>107</v>
      </c>
      <c r="B138" s="227"/>
      <c r="C138" s="227"/>
      <c r="D138" s="227"/>
      <c r="E138" s="227"/>
      <c r="F138" s="227"/>
      <c r="G138" s="227"/>
      <c r="H138" s="227"/>
      <c r="I138" s="165"/>
      <c r="J138" s="13">
        <f>J137/G9</f>
        <v>183256.66666666666</v>
      </c>
    </row>
    <row r="139" spans="1:13">
      <c r="J139" s="11"/>
    </row>
    <row r="140" spans="1:13">
      <c r="A140" s="113"/>
      <c r="B140" s="113"/>
      <c r="C140" s="113"/>
      <c r="D140" s="113"/>
      <c r="E140" s="113"/>
      <c r="F140" s="113"/>
      <c r="G140" s="113"/>
      <c r="H140" s="113"/>
      <c r="I140" s="113"/>
      <c r="J140" s="114">
        <f>J44+J67+J91+J113+J137</f>
        <v>32986200.029999997</v>
      </c>
      <c r="K140" s="114">
        <f>K44+K67+K91+K113+K137</f>
        <v>30932200</v>
      </c>
      <c r="L140" s="114">
        <f>L44+L67+L91+L113+L137</f>
        <v>68977500</v>
      </c>
      <c r="M140" s="114">
        <f>M44+M67+M91+M113+M137</f>
        <v>132895900.03</v>
      </c>
    </row>
    <row r="141" spans="1:13">
      <c r="J141" s="8">
        <f>J140/190</f>
        <v>173611.57910526314</v>
      </c>
      <c r="K141" s="8">
        <f>K140/K6</f>
        <v>69982.352941176476</v>
      </c>
      <c r="L141" s="8">
        <f>L140/O6</f>
        <v>105470.18348623853</v>
      </c>
    </row>
    <row r="142" spans="1:13">
      <c r="J142" s="8"/>
    </row>
    <row r="143" spans="1:13">
      <c r="J143" s="30"/>
      <c r="L143" s="30"/>
      <c r="M143" s="30"/>
    </row>
    <row r="144" spans="1:13">
      <c r="J144" s="4"/>
      <c r="K144" s="4"/>
      <c r="L144" s="30"/>
      <c r="M144" s="30"/>
    </row>
    <row r="145" spans="1:17" ht="16.5">
      <c r="K145" s="162" t="s">
        <v>189</v>
      </c>
    </row>
    <row r="146" spans="1:17" ht="16.5">
      <c r="K146" s="162" t="s">
        <v>217</v>
      </c>
    </row>
    <row r="147" spans="1:17" ht="30">
      <c r="A147" s="224" t="s">
        <v>194</v>
      </c>
      <c r="B147" s="225"/>
      <c r="C147" s="225"/>
      <c r="D147" s="225"/>
      <c r="E147" s="225"/>
      <c r="F147" s="225"/>
      <c r="G147" s="225"/>
      <c r="H147" s="225"/>
      <c r="I147" s="226"/>
      <c r="J147" s="18" t="s">
        <v>104</v>
      </c>
      <c r="K147" s="18" t="s">
        <v>105</v>
      </c>
      <c r="L147" s="18" t="s">
        <v>106</v>
      </c>
      <c r="M147" s="18" t="s">
        <v>93</v>
      </c>
      <c r="Q147" s="17"/>
    </row>
    <row r="148" spans="1:17">
      <c r="A148" s="281" t="s">
        <v>144</v>
      </c>
      <c r="B148" s="281"/>
      <c r="C148" s="281"/>
      <c r="D148" s="281"/>
      <c r="E148" s="281"/>
      <c r="F148" s="281"/>
      <c r="G148" s="281"/>
      <c r="H148" s="281"/>
      <c r="I148" s="281"/>
      <c r="J148" s="281"/>
      <c r="K148" s="281"/>
      <c r="L148" s="281"/>
      <c r="M148" s="281"/>
    </row>
    <row r="149" spans="1:17">
      <c r="A149" s="266" t="s">
        <v>80</v>
      </c>
      <c r="B149" s="267"/>
      <c r="C149" s="267"/>
      <c r="D149" s="267"/>
      <c r="E149" s="267"/>
      <c r="F149" s="267"/>
      <c r="G149" s="267"/>
      <c r="H149" s="267"/>
      <c r="I149" s="268"/>
      <c r="J149" s="76">
        <f>J150+J151+J152</f>
        <v>0</v>
      </c>
      <c r="K149" s="76">
        <f>K150+K151+K152</f>
        <v>339760</v>
      </c>
      <c r="L149" s="76">
        <f>L150+L151+L152</f>
        <v>424877</v>
      </c>
      <c r="M149" s="76">
        <f>SUM(J149:L149)</f>
        <v>764637</v>
      </c>
    </row>
    <row r="150" spans="1:17">
      <c r="A150" s="248" t="s">
        <v>120</v>
      </c>
      <c r="B150" s="269"/>
      <c r="C150" s="269"/>
      <c r="D150" s="269"/>
      <c r="E150" s="269"/>
      <c r="F150" s="269"/>
      <c r="G150" s="269"/>
      <c r="H150" s="269"/>
      <c r="I150" s="270"/>
      <c r="J150" s="2"/>
      <c r="K150" s="2">
        <f>258986+78215+2259+300</f>
        <v>339760</v>
      </c>
      <c r="L150" s="2">
        <v>424877</v>
      </c>
      <c r="M150" s="76">
        <f t="shared" ref="M150:M164" si="10">SUM(J150:L150)</f>
        <v>764637</v>
      </c>
    </row>
    <row r="151" spans="1:17" ht="47.25" customHeight="1">
      <c r="A151" s="233" t="s">
        <v>161</v>
      </c>
      <c r="B151" s="234"/>
      <c r="C151" s="234"/>
      <c r="D151" s="234"/>
      <c r="E151" s="234"/>
      <c r="F151" s="234"/>
      <c r="G151" s="234"/>
      <c r="H151" s="234"/>
      <c r="I151" s="235"/>
      <c r="J151" s="15"/>
      <c r="K151" s="2"/>
      <c r="L151" s="15"/>
      <c r="M151" s="76">
        <f t="shared" si="10"/>
        <v>0</v>
      </c>
    </row>
    <row r="152" spans="1:17">
      <c r="A152" s="164" t="s">
        <v>123</v>
      </c>
      <c r="B152" s="227"/>
      <c r="C152" s="227"/>
      <c r="D152" s="227"/>
      <c r="E152" s="227"/>
      <c r="F152" s="227"/>
      <c r="G152" s="227"/>
      <c r="H152" s="227"/>
      <c r="I152" s="165"/>
      <c r="J152" s="15"/>
      <c r="K152" s="15"/>
      <c r="L152" s="15">
        <f>R127+R128+R140+R134</f>
        <v>0</v>
      </c>
      <c r="M152" s="76">
        <f t="shared" si="10"/>
        <v>0</v>
      </c>
    </row>
    <row r="153" spans="1:17">
      <c r="A153" s="263" t="s">
        <v>87</v>
      </c>
      <c r="B153" s="264"/>
      <c r="C153" s="264"/>
      <c r="D153" s="264"/>
      <c r="E153" s="264"/>
      <c r="F153" s="264"/>
      <c r="G153" s="264"/>
      <c r="H153" s="264"/>
      <c r="I153" s="265"/>
      <c r="J153" s="76">
        <f>J154+J155+J159+J160+J161+J164</f>
        <v>0</v>
      </c>
      <c r="K153" s="76">
        <f>SUM(K154:K164)</f>
        <v>63968</v>
      </c>
      <c r="L153" s="76">
        <f>SUM(L154:L164)</f>
        <v>280229</v>
      </c>
      <c r="M153" s="76">
        <f t="shared" si="10"/>
        <v>344197</v>
      </c>
    </row>
    <row r="154" spans="1:17">
      <c r="A154" s="233" t="s">
        <v>125</v>
      </c>
      <c r="B154" s="234"/>
      <c r="C154" s="234"/>
      <c r="D154" s="234"/>
      <c r="E154" s="234"/>
      <c r="F154" s="234"/>
      <c r="G154" s="234"/>
      <c r="H154" s="234"/>
      <c r="I154" s="235"/>
      <c r="J154" s="15"/>
      <c r="K154" s="15"/>
      <c r="L154" s="15"/>
      <c r="M154" s="76">
        <f t="shared" si="10"/>
        <v>0</v>
      </c>
    </row>
    <row r="155" spans="1:17">
      <c r="A155" s="164" t="s">
        <v>126</v>
      </c>
      <c r="B155" s="227"/>
      <c r="C155" s="227"/>
      <c r="D155" s="227"/>
      <c r="E155" s="227"/>
      <c r="F155" s="227"/>
      <c r="G155" s="227"/>
      <c r="H155" s="227"/>
      <c r="I155" s="165"/>
      <c r="J155" s="15"/>
      <c r="K155" s="15">
        <v>11340</v>
      </c>
      <c r="L155" s="15">
        <v>27810</v>
      </c>
      <c r="M155" s="76">
        <f t="shared" si="10"/>
        <v>39150</v>
      </c>
    </row>
    <row r="156" spans="1:17">
      <c r="A156" s="164" t="s">
        <v>82</v>
      </c>
      <c r="B156" s="227"/>
      <c r="C156" s="227"/>
      <c r="D156" s="227"/>
      <c r="E156" s="227"/>
      <c r="F156" s="227"/>
      <c r="G156" s="227"/>
      <c r="H156" s="227"/>
      <c r="I156" s="165"/>
      <c r="J156" s="15"/>
      <c r="K156" s="15"/>
      <c r="L156" s="15"/>
      <c r="M156" s="76">
        <f t="shared" si="10"/>
        <v>0</v>
      </c>
    </row>
    <row r="157" spans="1:17">
      <c r="A157" s="164" t="s">
        <v>83</v>
      </c>
      <c r="B157" s="227"/>
      <c r="C157" s="227"/>
      <c r="D157" s="227"/>
      <c r="E157" s="227"/>
      <c r="F157" s="227"/>
      <c r="G157" s="227"/>
      <c r="H157" s="227"/>
      <c r="I157" s="165"/>
      <c r="J157" s="15"/>
      <c r="K157" s="15"/>
      <c r="L157" s="15"/>
      <c r="M157" s="76">
        <f t="shared" si="10"/>
        <v>0</v>
      </c>
    </row>
    <row r="158" spans="1:17">
      <c r="A158" s="164" t="s">
        <v>84</v>
      </c>
      <c r="B158" s="227"/>
      <c r="C158" s="227"/>
      <c r="D158" s="227"/>
      <c r="E158" s="227"/>
      <c r="F158" s="227"/>
      <c r="G158" s="227"/>
      <c r="H158" s="227"/>
      <c r="I158" s="165"/>
      <c r="J158" s="15"/>
      <c r="K158" s="15"/>
      <c r="L158" s="15"/>
      <c r="M158" s="76">
        <f t="shared" si="10"/>
        <v>0</v>
      </c>
    </row>
    <row r="159" spans="1:17">
      <c r="A159" s="164" t="s">
        <v>127</v>
      </c>
      <c r="B159" s="227"/>
      <c r="C159" s="227"/>
      <c r="D159" s="227"/>
      <c r="E159" s="227"/>
      <c r="F159" s="227"/>
      <c r="G159" s="227"/>
      <c r="H159" s="227"/>
      <c r="I159" s="165"/>
      <c r="J159" s="15"/>
      <c r="K159" s="15"/>
      <c r="L159" s="15"/>
      <c r="M159" s="76">
        <f t="shared" si="10"/>
        <v>0</v>
      </c>
    </row>
    <row r="160" spans="1:17">
      <c r="A160" s="164" t="s">
        <v>128</v>
      </c>
      <c r="B160" s="227"/>
      <c r="C160" s="227"/>
      <c r="D160" s="227"/>
      <c r="E160" s="227"/>
      <c r="F160" s="227"/>
      <c r="G160" s="227"/>
      <c r="H160" s="227"/>
      <c r="I160" s="165"/>
      <c r="J160" s="15"/>
      <c r="K160" s="15"/>
      <c r="L160" s="15"/>
      <c r="M160" s="76">
        <f t="shared" si="10"/>
        <v>0</v>
      </c>
    </row>
    <row r="161" spans="1:13" ht="38.25" customHeight="1">
      <c r="A161" s="285" t="s">
        <v>164</v>
      </c>
      <c r="B161" s="286"/>
      <c r="C161" s="286"/>
      <c r="D161" s="286"/>
      <c r="E161" s="286"/>
      <c r="F161" s="286"/>
      <c r="G161" s="286"/>
      <c r="H161" s="286"/>
      <c r="I161" s="287"/>
      <c r="J161" s="15"/>
      <c r="K161" s="15"/>
      <c r="L161" s="15"/>
      <c r="M161" s="76">
        <f>SUM(J161:L161)</f>
        <v>0</v>
      </c>
    </row>
    <row r="162" spans="1:13" ht="15" customHeight="1">
      <c r="A162" s="288"/>
      <c r="B162" s="289"/>
      <c r="C162" s="289"/>
      <c r="D162" s="289"/>
      <c r="E162" s="289"/>
      <c r="F162" s="289"/>
      <c r="G162" s="289"/>
      <c r="H162" s="289"/>
      <c r="I162" s="290"/>
      <c r="J162" s="15"/>
      <c r="K162" s="15">
        <v>52628</v>
      </c>
      <c r="L162" s="15">
        <v>252419</v>
      </c>
      <c r="M162" s="76">
        <f t="shared" si="10"/>
        <v>305047</v>
      </c>
    </row>
    <row r="163" spans="1:13">
      <c r="A163" s="164" t="s">
        <v>131</v>
      </c>
      <c r="B163" s="227"/>
      <c r="C163" s="227"/>
      <c r="D163" s="227"/>
      <c r="E163" s="227"/>
      <c r="F163" s="227"/>
      <c r="G163" s="227"/>
      <c r="H163" s="227"/>
      <c r="I163" s="165"/>
      <c r="J163" s="15"/>
      <c r="K163" s="15"/>
      <c r="L163" s="11"/>
      <c r="M163" s="76">
        <f t="shared" si="10"/>
        <v>0</v>
      </c>
    </row>
    <row r="164" spans="1:13" ht="75" customHeight="1">
      <c r="A164" s="233" t="s">
        <v>165</v>
      </c>
      <c r="B164" s="234"/>
      <c r="C164" s="234"/>
      <c r="D164" s="234"/>
      <c r="E164" s="234"/>
      <c r="F164" s="234"/>
      <c r="G164" s="234"/>
      <c r="H164" s="234"/>
      <c r="I164" s="235"/>
      <c r="J164" s="15"/>
      <c r="K164" s="15"/>
      <c r="L164" s="15"/>
      <c r="M164" s="76">
        <f t="shared" si="10"/>
        <v>0</v>
      </c>
    </row>
    <row r="165" spans="1:13">
      <c r="A165" s="260" t="s">
        <v>93</v>
      </c>
      <c r="B165" s="261"/>
      <c r="C165" s="261"/>
      <c r="D165" s="261"/>
      <c r="E165" s="261"/>
      <c r="F165" s="261"/>
      <c r="G165" s="261"/>
      <c r="H165" s="261"/>
      <c r="I165" s="262"/>
      <c r="J165" s="75">
        <f>J149+J153</f>
        <v>0</v>
      </c>
      <c r="K165" s="75">
        <f>K149+K153</f>
        <v>403728</v>
      </c>
      <c r="L165" s="75">
        <f>L149+L153</f>
        <v>705106</v>
      </c>
      <c r="M165" s="75">
        <f>M149+M153</f>
        <v>1108834</v>
      </c>
    </row>
    <row r="166" spans="1:13">
      <c r="A166" s="311" t="s">
        <v>201</v>
      </c>
      <c r="B166" s="311"/>
      <c r="C166" s="311"/>
      <c r="D166" s="311"/>
      <c r="E166" s="311"/>
      <c r="F166" s="311"/>
      <c r="G166" s="311"/>
      <c r="H166" s="311"/>
      <c r="I166" s="311"/>
      <c r="J166" s="123">
        <f>J140+J165</f>
        <v>32986200.029999997</v>
      </c>
      <c r="K166" s="123">
        <f>K140+K165</f>
        <v>31335928</v>
      </c>
      <c r="L166" s="123">
        <f>L140+L165</f>
        <v>69682606</v>
      </c>
      <c r="M166" s="123">
        <f>M140+M165</f>
        <v>134004734.03</v>
      </c>
    </row>
    <row r="167" spans="1:13">
      <c r="J167" s="8"/>
      <c r="K167" s="8"/>
      <c r="L167" s="8"/>
    </row>
    <row r="168" spans="1:13">
      <c r="K168" s="8"/>
      <c r="L168" s="8"/>
    </row>
    <row r="170" spans="1:13">
      <c r="K170" s="8"/>
    </row>
  </sheetData>
  <mergeCells count="133">
    <mergeCell ref="A161:I162"/>
    <mergeCell ref="A163:I163"/>
    <mergeCell ref="A164:I164"/>
    <mergeCell ref="A165:I165"/>
    <mergeCell ref="A166:I166"/>
    <mergeCell ref="A155:I155"/>
    <mergeCell ref="A156:I156"/>
    <mergeCell ref="A157:I157"/>
    <mergeCell ref="A158:I158"/>
    <mergeCell ref="A159:I159"/>
    <mergeCell ref="A160:I160"/>
    <mergeCell ref="A149:I149"/>
    <mergeCell ref="A150:I150"/>
    <mergeCell ref="A151:I151"/>
    <mergeCell ref="A152:I152"/>
    <mergeCell ref="A153:I153"/>
    <mergeCell ref="A154:I154"/>
    <mergeCell ref="A135:I135"/>
    <mergeCell ref="A136:I136"/>
    <mergeCell ref="A137:I137"/>
    <mergeCell ref="A138:I138"/>
    <mergeCell ref="A147:I147"/>
    <mergeCell ref="A148:M148"/>
    <mergeCell ref="A129:I129"/>
    <mergeCell ref="A130:I130"/>
    <mergeCell ref="A131:I131"/>
    <mergeCell ref="A132:I132"/>
    <mergeCell ref="A133:I133"/>
    <mergeCell ref="A134:I134"/>
    <mergeCell ref="A123:I123"/>
    <mergeCell ref="A124:I124"/>
    <mergeCell ref="A125:I125"/>
    <mergeCell ref="A126:I126"/>
    <mergeCell ref="A127:I127"/>
    <mergeCell ref="A128:I128"/>
    <mergeCell ref="A111:I111"/>
    <mergeCell ref="A112:I112"/>
    <mergeCell ref="A113:I113"/>
    <mergeCell ref="A114:I114"/>
    <mergeCell ref="A121:M121"/>
    <mergeCell ref="A122:I122"/>
    <mergeCell ref="A105:I105"/>
    <mergeCell ref="A106:I106"/>
    <mergeCell ref="A107:I107"/>
    <mergeCell ref="A108:I108"/>
    <mergeCell ref="A109:I109"/>
    <mergeCell ref="A110:I110"/>
    <mergeCell ref="A99:I99"/>
    <mergeCell ref="A100:I100"/>
    <mergeCell ref="A101:I101"/>
    <mergeCell ref="A102:I102"/>
    <mergeCell ref="A103:I103"/>
    <mergeCell ref="A104:I104"/>
    <mergeCell ref="A89:I89"/>
    <mergeCell ref="A90:I90"/>
    <mergeCell ref="A91:I91"/>
    <mergeCell ref="A92:I92"/>
    <mergeCell ref="A97:M97"/>
    <mergeCell ref="A98:I98"/>
    <mergeCell ref="A83:I83"/>
    <mergeCell ref="A84:I84"/>
    <mergeCell ref="A85:I85"/>
    <mergeCell ref="A86:I86"/>
    <mergeCell ref="A87:I87"/>
    <mergeCell ref="A88:I88"/>
    <mergeCell ref="A77:I77"/>
    <mergeCell ref="A78:I78"/>
    <mergeCell ref="A79:I79"/>
    <mergeCell ref="A80:I80"/>
    <mergeCell ref="A81:I81"/>
    <mergeCell ref="A82:I82"/>
    <mergeCell ref="A65:I65"/>
    <mergeCell ref="A66:I66"/>
    <mergeCell ref="A67:I67"/>
    <mergeCell ref="A68:I68"/>
    <mergeCell ref="A75:M75"/>
    <mergeCell ref="A76:I76"/>
    <mergeCell ref="A59:I59"/>
    <mergeCell ref="A60:I60"/>
    <mergeCell ref="A61:I61"/>
    <mergeCell ref="A62:I62"/>
    <mergeCell ref="A63:I63"/>
    <mergeCell ref="A64:I64"/>
    <mergeCell ref="A53:I53"/>
    <mergeCell ref="A54:I54"/>
    <mergeCell ref="A55:I55"/>
    <mergeCell ref="A56:I56"/>
    <mergeCell ref="A57:I57"/>
    <mergeCell ref="A58:I58"/>
    <mergeCell ref="A42:I42"/>
    <mergeCell ref="A43:I43"/>
    <mergeCell ref="A44:I44"/>
    <mergeCell ref="A45:I45"/>
    <mergeCell ref="A51:M51"/>
    <mergeCell ref="A52:I52"/>
    <mergeCell ref="A36:I36"/>
    <mergeCell ref="A37:I37"/>
    <mergeCell ref="A38:I38"/>
    <mergeCell ref="A39:I39"/>
    <mergeCell ref="A40:I40"/>
    <mergeCell ref="A41:I41"/>
    <mergeCell ref="A30:I30"/>
    <mergeCell ref="A31:I31"/>
    <mergeCell ref="A32:I32"/>
    <mergeCell ref="A33:I33"/>
    <mergeCell ref="A34:I34"/>
    <mergeCell ref="A35:I35"/>
    <mergeCell ref="B17:D17"/>
    <mergeCell ref="B18:D18"/>
    <mergeCell ref="B19:D19"/>
    <mergeCell ref="B20:D20"/>
    <mergeCell ref="A28:M28"/>
    <mergeCell ref="A29:I29"/>
    <mergeCell ref="B11:D11"/>
    <mergeCell ref="B12:D12"/>
    <mergeCell ref="B13:D13"/>
    <mergeCell ref="B14:D14"/>
    <mergeCell ref="B15:D15"/>
    <mergeCell ref="B16:D16"/>
    <mergeCell ref="S4:S5"/>
    <mergeCell ref="B6:D6"/>
    <mergeCell ref="B7:D7"/>
    <mergeCell ref="B8:D8"/>
    <mergeCell ref="B9:D9"/>
    <mergeCell ref="B10:D10"/>
    <mergeCell ref="K3:P3"/>
    <mergeCell ref="A4:A5"/>
    <mergeCell ref="B4:D5"/>
    <mergeCell ref="E4:E5"/>
    <mergeCell ref="F4:F5"/>
    <mergeCell ref="G4:J4"/>
    <mergeCell ref="K4:N4"/>
    <mergeCell ref="O4:R4"/>
  </mergeCells>
  <pageMargins left="0.7" right="0.7" top="0.75" bottom="0.75" header="0.3" footer="0.3"/>
  <pageSetup paperSize="9" scale="66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школы 2020 кМЗ</vt:lpstr>
      <vt:lpstr>Дсады 2020 к МЗ</vt:lpstr>
      <vt:lpstr>культура 2020К мз</vt:lpstr>
      <vt:lpstr>доп.обр.2020 к МЗ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Zam_Gl_Buh1</dc:creator>
  <cp:lastModifiedBy>Zam_Gl_Buh1</cp:lastModifiedBy>
  <cp:lastPrinted>2020-01-14T22:17:39Z</cp:lastPrinted>
  <dcterms:created xsi:type="dcterms:W3CDTF">2016-11-18T04:11:35Z</dcterms:created>
  <dcterms:modified xsi:type="dcterms:W3CDTF">2020-02-04T05:00:46Z</dcterms:modified>
</cp:coreProperties>
</file>